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G46" i="17" l="1"/>
  <c r="G67" i="17"/>
  <c r="H51" i="17" l="1"/>
  <c r="I51" i="17" s="1"/>
  <c r="J51" i="17" s="1"/>
  <c r="K51" i="17" s="1"/>
  <c r="L51" i="17" s="1"/>
  <c r="M51" i="17" s="1"/>
  <c r="N51" i="17" s="1"/>
  <c r="O51" i="17" s="1"/>
  <c r="P51" i="17" s="1"/>
  <c r="Q51" i="17" s="1"/>
  <c r="I55" i="17" l="1"/>
  <c r="J55" i="17" s="1"/>
  <c r="K55" i="17" s="1"/>
  <c r="L55" i="17" s="1"/>
  <c r="M55" i="17" s="1"/>
  <c r="N55" i="17" s="1"/>
  <c r="O55" i="17" s="1"/>
  <c r="P55" i="17" s="1"/>
  <c r="Q55" i="17" s="1"/>
  <c r="I56" i="17"/>
  <c r="J56" i="17" s="1"/>
  <c r="K56" i="17" s="1"/>
  <c r="L56" i="17" s="1"/>
  <c r="M56" i="17" s="1"/>
  <c r="N56" i="17" s="1"/>
  <c r="O56" i="17" s="1"/>
  <c r="P56" i="17" s="1"/>
  <c r="Q56" i="17" s="1"/>
  <c r="I63" i="17"/>
  <c r="J63" i="17" s="1"/>
  <c r="K63" i="17" s="1"/>
  <c r="L63" i="17" s="1"/>
  <c r="M63" i="17" s="1"/>
  <c r="N63" i="17" s="1"/>
  <c r="O63" i="17" s="1"/>
  <c r="P63" i="17" s="1"/>
  <c r="Q63" i="17" s="1"/>
  <c r="I64" i="17"/>
  <c r="J64" i="17" s="1"/>
  <c r="K64" i="17" s="1"/>
  <c r="L64" i="17" s="1"/>
  <c r="M64" i="17" s="1"/>
  <c r="N64" i="17" s="1"/>
  <c r="O64" i="17" s="1"/>
  <c r="P64" i="17" s="1"/>
  <c r="Q64" i="17" s="1"/>
  <c r="H64" i="17"/>
  <c r="H54" i="17"/>
  <c r="I54" i="17" s="1"/>
  <c r="J54" i="17" s="1"/>
  <c r="K54" i="17" s="1"/>
  <c r="L54" i="17" s="1"/>
  <c r="M54" i="17" s="1"/>
  <c r="N54" i="17" s="1"/>
  <c r="O54" i="17" s="1"/>
  <c r="P54" i="17" s="1"/>
  <c r="Q54" i="17" s="1"/>
  <c r="H55" i="17"/>
  <c r="H56" i="17"/>
  <c r="H57" i="17"/>
  <c r="I57" i="17" s="1"/>
  <c r="J57" i="17" s="1"/>
  <c r="K57" i="17" s="1"/>
  <c r="L57" i="17" s="1"/>
  <c r="M57" i="17" s="1"/>
  <c r="N57" i="17" s="1"/>
  <c r="O57" i="17" s="1"/>
  <c r="P57" i="17" s="1"/>
  <c r="Q57" i="17" s="1"/>
  <c r="H58" i="17"/>
  <c r="I58" i="17" s="1"/>
  <c r="J58" i="17" s="1"/>
  <c r="K58" i="17" s="1"/>
  <c r="L58" i="17" s="1"/>
  <c r="M58" i="17" s="1"/>
  <c r="N58" i="17" s="1"/>
  <c r="O58" i="17" s="1"/>
  <c r="P58" i="17" s="1"/>
  <c r="Q58" i="17" s="1"/>
  <c r="H59" i="17"/>
  <c r="I59" i="17" s="1"/>
  <c r="J59" i="17" s="1"/>
  <c r="K59" i="17" s="1"/>
  <c r="L59" i="17" s="1"/>
  <c r="M59" i="17" s="1"/>
  <c r="N59" i="17" s="1"/>
  <c r="O59" i="17" s="1"/>
  <c r="P59" i="17" s="1"/>
  <c r="Q59" i="17" s="1"/>
  <c r="H60" i="17"/>
  <c r="I60" i="17" s="1"/>
  <c r="J60" i="17" s="1"/>
  <c r="K60" i="17" s="1"/>
  <c r="L60" i="17" s="1"/>
  <c r="M60" i="17" s="1"/>
  <c r="N60" i="17" s="1"/>
  <c r="O60" i="17" s="1"/>
  <c r="P60" i="17" s="1"/>
  <c r="Q60" i="17" s="1"/>
  <c r="H61" i="17"/>
  <c r="I61" i="17" s="1"/>
  <c r="J61" i="17" s="1"/>
  <c r="K61" i="17" s="1"/>
  <c r="L61" i="17" s="1"/>
  <c r="M61" i="17" s="1"/>
  <c r="N61" i="17" s="1"/>
  <c r="O61" i="17" s="1"/>
  <c r="P61" i="17" s="1"/>
  <c r="Q61" i="17" s="1"/>
  <c r="H62" i="17"/>
  <c r="I62" i="17" s="1"/>
  <c r="J62" i="17" s="1"/>
  <c r="K62" i="17" s="1"/>
  <c r="L62" i="17" s="1"/>
  <c r="M62" i="17" s="1"/>
  <c r="N62" i="17" s="1"/>
  <c r="O62" i="17" s="1"/>
  <c r="P62" i="17" s="1"/>
  <c r="Q62" i="17" s="1"/>
  <c r="H63" i="17"/>
  <c r="H53" i="17"/>
  <c r="I53" i="17" s="1"/>
  <c r="J53" i="17" s="1"/>
  <c r="K53" i="17" s="1"/>
  <c r="L53" i="17" s="1"/>
  <c r="M53" i="17" s="1"/>
  <c r="N53" i="17" s="1"/>
  <c r="O53" i="17" s="1"/>
  <c r="P53" i="17" s="1"/>
  <c r="Q53" i="17" s="1"/>
  <c r="I68" i="17"/>
  <c r="J68" i="17"/>
  <c r="K68" i="17" s="1"/>
  <c r="L68" i="17" s="1"/>
  <c r="M68" i="17" s="1"/>
  <c r="N68" i="17" s="1"/>
  <c r="O68" i="17" s="1"/>
  <c r="P68" i="17" s="1"/>
  <c r="Q68" i="17" s="1"/>
  <c r="H67" i="17"/>
  <c r="I67" i="17" s="1"/>
  <c r="J67" i="17" s="1"/>
  <c r="K67" i="17" s="1"/>
  <c r="L67" i="17" s="1"/>
  <c r="M67" i="17" s="1"/>
  <c r="N67" i="17" s="1"/>
  <c r="O67" i="17" s="1"/>
  <c r="P67" i="17" s="1"/>
  <c r="Q67" i="17" s="1"/>
  <c r="H68" i="17"/>
  <c r="H66" i="17"/>
  <c r="I66" i="17" s="1"/>
  <c r="J66" i="17" s="1"/>
  <c r="K66" i="17" s="1"/>
  <c r="L66" i="17" s="1"/>
  <c r="M66" i="17" s="1"/>
  <c r="N66" i="17" s="1"/>
  <c r="O66" i="17" s="1"/>
  <c r="P66" i="17" s="1"/>
  <c r="Q66" i="17" s="1"/>
  <c r="I89" i="17"/>
  <c r="J89" i="17" s="1"/>
  <c r="K89" i="17" s="1"/>
  <c r="L89" i="17" s="1"/>
  <c r="M89" i="17" s="1"/>
  <c r="N89" i="17" s="1"/>
  <c r="O89" i="17" s="1"/>
  <c r="P89" i="17" s="1"/>
  <c r="Q89" i="17" s="1"/>
  <c r="I90" i="17"/>
  <c r="J90" i="17" s="1"/>
  <c r="K90" i="17" s="1"/>
  <c r="L90" i="17" s="1"/>
  <c r="M90" i="17" s="1"/>
  <c r="N90" i="17" s="1"/>
  <c r="O90" i="17" s="1"/>
  <c r="P90" i="17" s="1"/>
  <c r="Q90" i="17" s="1"/>
  <c r="H90" i="17"/>
  <c r="H91" i="17"/>
  <c r="I91" i="17" s="1"/>
  <c r="J91" i="17" s="1"/>
  <c r="K91" i="17" s="1"/>
  <c r="L91" i="17" s="1"/>
  <c r="M91" i="17" s="1"/>
  <c r="N91" i="17" s="1"/>
  <c r="O91" i="17" s="1"/>
  <c r="P91" i="17" s="1"/>
  <c r="Q91" i="17" s="1"/>
  <c r="H92" i="17"/>
  <c r="I92" i="17" s="1"/>
  <c r="J92" i="17" s="1"/>
  <c r="K92" i="17" s="1"/>
  <c r="L92" i="17" s="1"/>
  <c r="M92" i="17" s="1"/>
  <c r="N92" i="17" s="1"/>
  <c r="O92" i="17" s="1"/>
  <c r="P92" i="17" s="1"/>
  <c r="Q92" i="17" s="1"/>
  <c r="H93" i="17"/>
  <c r="I93" i="17" s="1"/>
  <c r="J93" i="17" s="1"/>
  <c r="K93" i="17" s="1"/>
  <c r="L93" i="17" s="1"/>
  <c r="M93" i="17" s="1"/>
  <c r="N93" i="17" s="1"/>
  <c r="O93" i="17" s="1"/>
  <c r="P93" i="17" s="1"/>
  <c r="Q93" i="17" s="1"/>
  <c r="H89" i="17"/>
  <c r="H69" i="17" l="1"/>
  <c r="I69" i="17" s="1"/>
  <c r="J69" i="17" s="1"/>
  <c r="K69" i="17" s="1"/>
  <c r="L69" i="17" s="1"/>
  <c r="M69" i="17" s="1"/>
  <c r="N69" i="17" s="1"/>
  <c r="O69" i="17" s="1"/>
  <c r="P69" i="17" s="1"/>
  <c r="Q69" i="17" s="1"/>
  <c r="H70" i="17"/>
  <c r="I70" i="17" s="1"/>
  <c r="J70" i="17" s="1"/>
  <c r="K70" i="17" s="1"/>
  <c r="L70" i="17" s="1"/>
  <c r="M70" i="17" s="1"/>
  <c r="N70" i="17" s="1"/>
  <c r="O70" i="17" s="1"/>
  <c r="P70" i="17" s="1"/>
  <c r="Q70" i="17" s="1"/>
  <c r="I50" i="17"/>
  <c r="J50" i="17" s="1"/>
  <c r="K50" i="17" s="1"/>
  <c r="L50" i="17" s="1"/>
  <c r="M50" i="17" s="1"/>
  <c r="N50" i="17" s="1"/>
  <c r="O50" i="17" s="1"/>
  <c r="P50" i="17" s="1"/>
  <c r="Q50" i="17" s="1"/>
  <c r="H50" i="17"/>
  <c r="G94" i="17"/>
  <c r="G19" i="17" l="1"/>
  <c r="H105" i="17" l="1"/>
  <c r="I105" i="17" s="1"/>
  <c r="J105" i="17" s="1"/>
  <c r="K105" i="17" s="1"/>
  <c r="L105" i="17" s="1"/>
  <c r="M105" i="17" s="1"/>
  <c r="N105" i="17" s="1"/>
  <c r="O105" i="17" s="1"/>
  <c r="P105" i="17" s="1"/>
  <c r="Q105" i="17" s="1"/>
  <c r="H104" i="17"/>
  <c r="I104" i="17" s="1"/>
  <c r="J104" i="17" s="1"/>
  <c r="K104" i="17" s="1"/>
  <c r="L104" i="17" s="1"/>
  <c r="M104" i="17" s="1"/>
  <c r="N104" i="17" s="1"/>
  <c r="O104" i="17" s="1"/>
  <c r="P104" i="17" s="1"/>
  <c r="Q104" i="17" s="1"/>
  <c r="Q102" i="17"/>
  <c r="H86" i="17"/>
  <c r="I86" i="17" s="1"/>
  <c r="J86" i="17" s="1"/>
  <c r="K86" i="17" s="1"/>
  <c r="L86" i="17" s="1"/>
  <c r="M86" i="17" s="1"/>
  <c r="N86" i="17" s="1"/>
  <c r="O86" i="17" s="1"/>
  <c r="P86" i="17" s="1"/>
  <c r="Q86" i="17" s="1"/>
  <c r="H84" i="17" l="1"/>
  <c r="I84" i="17"/>
  <c r="J84" i="17" s="1"/>
  <c r="K84" i="17" s="1"/>
  <c r="L84" i="17" s="1"/>
  <c r="M84" i="17" s="1"/>
  <c r="N84" i="17" s="1"/>
  <c r="O84" i="17" s="1"/>
  <c r="P84" i="17" s="1"/>
  <c r="Q84" i="17" s="1"/>
  <c r="G85" i="17"/>
  <c r="H85" i="17" s="1"/>
  <c r="I85" i="17" s="1"/>
  <c r="J85" i="17" s="1"/>
  <c r="K85" i="17" s="1"/>
  <c r="L85" i="17" s="1"/>
  <c r="M85" i="17" s="1"/>
  <c r="N85" i="17" s="1"/>
  <c r="O85" i="17" s="1"/>
  <c r="P85" i="17" s="1"/>
  <c r="Q85" i="17" s="1"/>
  <c r="G84" i="17"/>
  <c r="G83" i="17"/>
  <c r="H83" i="17" s="1"/>
  <c r="I83" i="17" s="1"/>
  <c r="J83" i="17" s="1"/>
  <c r="K83" i="17" s="1"/>
  <c r="L83" i="17" s="1"/>
  <c r="M83" i="17" s="1"/>
  <c r="N83" i="17" s="1"/>
  <c r="O83" i="17" s="1"/>
  <c r="P83" i="17" s="1"/>
  <c r="Q83" i="17" s="1"/>
  <c r="G82" i="17"/>
  <c r="H82" i="17" s="1"/>
  <c r="I82" i="17" s="1"/>
  <c r="J82" i="17" s="1"/>
  <c r="K82" i="17" s="1"/>
  <c r="L82" i="17" s="1"/>
  <c r="M82" i="17" s="1"/>
  <c r="N82" i="17" s="1"/>
  <c r="O82" i="17" s="1"/>
  <c r="P82" i="17" s="1"/>
  <c r="Q82" i="17" s="1"/>
  <c r="G80" i="17"/>
  <c r="H80" i="17" s="1"/>
  <c r="I80" i="17" s="1"/>
  <c r="J80" i="17" s="1"/>
  <c r="K80" i="17" s="1"/>
  <c r="L80" i="17" s="1"/>
  <c r="M80" i="17" s="1"/>
  <c r="N80" i="17" s="1"/>
  <c r="O80" i="17" s="1"/>
  <c r="P80" i="17" s="1"/>
  <c r="Q80" i="17" s="1"/>
  <c r="G78" i="17"/>
  <c r="H78" i="17" s="1"/>
  <c r="I78" i="17" s="1"/>
  <c r="J78" i="17" s="1"/>
  <c r="K78" i="17" s="1"/>
  <c r="L78" i="17" s="1"/>
  <c r="M78" i="17" s="1"/>
  <c r="N78" i="17" s="1"/>
  <c r="O78" i="17" s="1"/>
  <c r="P78" i="17" s="1"/>
  <c r="Q78" i="17" s="1"/>
  <c r="G77" i="17"/>
  <c r="H77" i="17" s="1"/>
  <c r="I77" i="17" s="1"/>
  <c r="J77" i="17" s="1"/>
  <c r="K77" i="17" s="1"/>
  <c r="L77" i="17" s="1"/>
  <c r="M77" i="17" s="1"/>
  <c r="N77" i="17" s="1"/>
  <c r="O77" i="17" s="1"/>
  <c r="P77" i="17" s="1"/>
  <c r="Q77" i="17" s="1"/>
  <c r="G76" i="17"/>
  <c r="H76" i="17" s="1"/>
  <c r="I76" i="17" s="1"/>
  <c r="J76" i="17" s="1"/>
  <c r="K76" i="17" s="1"/>
  <c r="L76" i="17" s="1"/>
  <c r="M76" i="17" s="1"/>
  <c r="N76" i="17" s="1"/>
  <c r="O76" i="17" s="1"/>
  <c r="P76" i="17" s="1"/>
  <c r="Q76" i="17" s="1"/>
  <c r="I79" i="17"/>
  <c r="J79" i="17"/>
  <c r="K79" i="17" s="1"/>
  <c r="L79" i="17" s="1"/>
  <c r="M79" i="17" s="1"/>
  <c r="N79" i="17" s="1"/>
  <c r="O79" i="17" s="1"/>
  <c r="P79" i="17" s="1"/>
  <c r="Q79" i="17" s="1"/>
  <c r="H79" i="17"/>
  <c r="H46" i="17"/>
  <c r="I46" i="17" s="1"/>
  <c r="J46" i="17" s="1"/>
  <c r="K46" i="17" s="1"/>
  <c r="L46" i="17" s="1"/>
  <c r="M46" i="17" s="1"/>
  <c r="N46" i="17" s="1"/>
  <c r="O46" i="17" s="1"/>
  <c r="P46" i="17" s="1"/>
  <c r="Q46" i="17" s="1"/>
  <c r="H45" i="17"/>
  <c r="I45" i="17"/>
  <c r="J45" i="17" s="1"/>
  <c r="K45" i="17" s="1"/>
  <c r="L45" i="17" s="1"/>
  <c r="M45" i="17" s="1"/>
  <c r="N45" i="17" s="1"/>
  <c r="O45" i="17" s="1"/>
  <c r="P45" i="17" s="1"/>
  <c r="Q45" i="17" s="1"/>
  <c r="H44" i="17"/>
  <c r="I44" i="17"/>
  <c r="J44" i="17" s="1"/>
  <c r="K44" i="17" s="1"/>
  <c r="L44" i="17" s="1"/>
  <c r="M44" i="17" s="1"/>
  <c r="N44" i="17" s="1"/>
  <c r="O44" i="17" s="1"/>
  <c r="P44" i="17" s="1"/>
  <c r="Q44" i="17" s="1"/>
  <c r="H43" i="17"/>
  <c r="I43" i="17"/>
  <c r="J43" i="17" s="1"/>
  <c r="K43" i="17" s="1"/>
  <c r="L43" i="17" s="1"/>
  <c r="M43" i="17" s="1"/>
  <c r="N43" i="17" s="1"/>
  <c r="O43" i="17" s="1"/>
  <c r="P43" i="17" s="1"/>
  <c r="Q43" i="17" s="1"/>
  <c r="H42" i="17"/>
  <c r="I42" i="17"/>
  <c r="J42" i="17" s="1"/>
  <c r="K42" i="17" s="1"/>
  <c r="L42" i="17" s="1"/>
  <c r="M42" i="17" s="1"/>
  <c r="N42" i="17" s="1"/>
  <c r="O42" i="17" s="1"/>
  <c r="P42" i="17" s="1"/>
  <c r="Q42" i="17" s="1"/>
  <c r="H41" i="17"/>
  <c r="I41" i="17"/>
  <c r="J41" i="17" s="1"/>
  <c r="K41" i="17" s="1"/>
  <c r="L41" i="17" s="1"/>
  <c r="M41" i="17" s="1"/>
  <c r="N41" i="17" s="1"/>
  <c r="O41" i="17" s="1"/>
  <c r="P41" i="17" s="1"/>
  <c r="Q41" i="17" s="1"/>
  <c r="H40" i="17"/>
  <c r="I40" i="17" s="1"/>
  <c r="J40" i="17" s="1"/>
  <c r="K40" i="17" s="1"/>
  <c r="L40" i="17" s="1"/>
  <c r="M40" i="17" s="1"/>
  <c r="N40" i="17" s="1"/>
  <c r="O40" i="17" s="1"/>
  <c r="P40" i="17" s="1"/>
  <c r="Q40" i="17" s="1"/>
  <c r="I36" i="17"/>
  <c r="J36" i="17" s="1"/>
  <c r="K36" i="17" s="1"/>
  <c r="L36" i="17" s="1"/>
  <c r="M36" i="17" s="1"/>
  <c r="N36" i="17" s="1"/>
  <c r="O36" i="17" s="1"/>
  <c r="P36" i="17" s="1"/>
  <c r="Q36" i="17" s="1"/>
  <c r="H39" i="17"/>
  <c r="I39" i="17" s="1"/>
  <c r="J39" i="17" s="1"/>
  <c r="K39" i="17" s="1"/>
  <c r="L39" i="17" s="1"/>
  <c r="M39" i="17" s="1"/>
  <c r="N39" i="17" s="1"/>
  <c r="O39" i="17" s="1"/>
  <c r="P39" i="17" s="1"/>
  <c r="Q39" i="17" s="1"/>
  <c r="H38" i="17"/>
  <c r="I38" i="17" s="1"/>
  <c r="J38" i="17" s="1"/>
  <c r="K38" i="17" s="1"/>
  <c r="L38" i="17" s="1"/>
  <c r="M38" i="17" s="1"/>
  <c r="N38" i="17" s="1"/>
  <c r="O38" i="17" s="1"/>
  <c r="P38" i="17" s="1"/>
  <c r="Q38" i="17" s="1"/>
  <c r="H37" i="17"/>
  <c r="I37" i="17" s="1"/>
  <c r="J37" i="17" s="1"/>
  <c r="K37" i="17" s="1"/>
  <c r="L37" i="17" s="1"/>
  <c r="M37" i="17" s="1"/>
  <c r="N37" i="17" s="1"/>
  <c r="O37" i="17" s="1"/>
  <c r="P37" i="17" s="1"/>
  <c r="Q37" i="17" s="1"/>
  <c r="H36" i="17"/>
  <c r="H35" i="17"/>
  <c r="I35" i="17" s="1"/>
  <c r="J35" i="17" s="1"/>
  <c r="K35" i="17" s="1"/>
  <c r="L35" i="17" s="1"/>
  <c r="M35" i="17" s="1"/>
  <c r="N35" i="17" s="1"/>
  <c r="O35" i="17" s="1"/>
  <c r="P35" i="17" s="1"/>
  <c r="Q35" i="17" s="1"/>
  <c r="H31" i="17"/>
  <c r="I31" i="17" s="1"/>
  <c r="J31" i="17" s="1"/>
  <c r="K31" i="17" s="1"/>
  <c r="L31" i="17" s="1"/>
  <c r="M31" i="17" s="1"/>
  <c r="N31" i="17" s="1"/>
  <c r="O31" i="17" s="1"/>
  <c r="P31" i="17" s="1"/>
  <c r="Q31" i="17" s="1"/>
  <c r="H30" i="17"/>
  <c r="I30" i="17" s="1"/>
  <c r="J30" i="17" s="1"/>
  <c r="K30" i="17" s="1"/>
  <c r="L30" i="17" s="1"/>
  <c r="M30" i="17" s="1"/>
  <c r="N30" i="17" s="1"/>
  <c r="O30" i="17" s="1"/>
  <c r="P30" i="17" s="1"/>
  <c r="Q30" i="17" s="1"/>
  <c r="H29" i="17"/>
  <c r="I29" i="17" s="1"/>
  <c r="J29" i="17" s="1"/>
  <c r="K29" i="17" s="1"/>
  <c r="L29" i="17" s="1"/>
  <c r="M29" i="17" s="1"/>
  <c r="N29" i="17" s="1"/>
  <c r="O29" i="17" s="1"/>
  <c r="P29" i="17" s="1"/>
  <c r="Q29" i="17" s="1"/>
  <c r="H27" i="17"/>
  <c r="I27" i="17" s="1"/>
  <c r="J27" i="17" s="1"/>
  <c r="K27" i="17" s="1"/>
  <c r="L27" i="17" s="1"/>
  <c r="M27" i="17" s="1"/>
  <c r="N27" i="17" s="1"/>
  <c r="O27" i="17" s="1"/>
  <c r="P27" i="17" s="1"/>
  <c r="Q27" i="17" s="1"/>
  <c r="H26" i="17"/>
  <c r="I26" i="17" s="1"/>
  <c r="J26" i="17" s="1"/>
  <c r="K26" i="17" s="1"/>
  <c r="L26" i="17" s="1"/>
  <c r="M26" i="17" s="1"/>
  <c r="N26" i="17" s="1"/>
  <c r="O26" i="17" s="1"/>
  <c r="P26" i="17" s="1"/>
  <c r="Q26" i="17" s="1"/>
  <c r="H22" i="17"/>
  <c r="I22" i="17" s="1"/>
  <c r="J22" i="17" s="1"/>
  <c r="K22" i="17" s="1"/>
  <c r="L22" i="17" s="1"/>
  <c r="M22" i="17" s="1"/>
  <c r="N22" i="17" s="1"/>
  <c r="O22" i="17" s="1"/>
  <c r="P22" i="17" s="1"/>
  <c r="Q22" i="17" s="1"/>
  <c r="H21" i="17"/>
  <c r="I21" i="17" s="1"/>
  <c r="J21" i="17" s="1"/>
  <c r="K21" i="17" s="1"/>
  <c r="L21" i="17" s="1"/>
  <c r="M21" i="17" s="1"/>
  <c r="N21" i="17" s="1"/>
  <c r="O21" i="17" s="1"/>
  <c r="P21" i="17" s="1"/>
  <c r="Q21" i="17" s="1"/>
  <c r="H19" i="17"/>
  <c r="I19" i="17" s="1"/>
  <c r="J19" i="17" s="1"/>
  <c r="K19" i="17" s="1"/>
  <c r="L19" i="17" s="1"/>
  <c r="M19" i="17" s="1"/>
  <c r="N19" i="17" s="1"/>
  <c r="O19" i="17" s="1"/>
  <c r="P19" i="17" s="1"/>
  <c r="Q19" i="17" s="1"/>
  <c r="I18" i="17"/>
  <c r="J18" i="17" s="1"/>
  <c r="K18" i="17" s="1"/>
  <c r="L18" i="17" s="1"/>
  <c r="M18" i="17" s="1"/>
  <c r="N18" i="17" s="1"/>
  <c r="O18" i="17" s="1"/>
  <c r="P18" i="17" s="1"/>
  <c r="Q18" i="17" s="1"/>
  <c r="H18" i="17"/>
  <c r="H17" i="17"/>
  <c r="I17" i="17" s="1"/>
  <c r="J17" i="17" s="1"/>
  <c r="K17" i="17" s="1"/>
  <c r="L17" i="17" s="1"/>
  <c r="M17" i="17" s="1"/>
  <c r="N17" i="17" s="1"/>
  <c r="O17" i="17" s="1"/>
  <c r="P17" i="17" s="1"/>
  <c r="Q17" i="17" s="1"/>
  <c r="H16" i="17"/>
  <c r="I16" i="17" s="1"/>
  <c r="J16" i="17" s="1"/>
  <c r="K16" i="17" s="1"/>
  <c r="L16" i="17" s="1"/>
  <c r="M16" i="17" s="1"/>
  <c r="N16" i="17" s="1"/>
  <c r="O16" i="17" s="1"/>
  <c r="P16" i="17" s="1"/>
  <c r="Q16" i="17" s="1"/>
  <c r="H12" i="17"/>
  <c r="I12" i="17" s="1"/>
  <c r="J12" i="17" s="1"/>
  <c r="K12" i="17" s="1"/>
  <c r="L12" i="17" s="1"/>
  <c r="M12" i="17" s="1"/>
  <c r="N12" i="17" s="1"/>
  <c r="O12" i="17" s="1"/>
  <c r="P12" i="17" s="1"/>
  <c r="Q12" i="17" s="1"/>
  <c r="H13" i="17"/>
  <c r="I13" i="17" s="1"/>
  <c r="J13" i="17" s="1"/>
  <c r="K13" i="17" s="1"/>
  <c r="L13" i="17" s="1"/>
  <c r="M13" i="17" s="1"/>
  <c r="N13" i="17" s="1"/>
  <c r="O13" i="17" s="1"/>
  <c r="P13" i="17" s="1"/>
  <c r="Q13" i="17" s="1"/>
  <c r="H14" i="17"/>
  <c r="I14" i="17" s="1"/>
  <c r="J14" i="17" s="1"/>
  <c r="K14" i="17" s="1"/>
  <c r="L14" i="17" s="1"/>
  <c r="M14" i="17" s="1"/>
  <c r="N14" i="17" s="1"/>
  <c r="O14" i="17" s="1"/>
  <c r="P14" i="17" s="1"/>
  <c r="Q14" i="17" s="1"/>
  <c r="H11" i="17"/>
  <c r="I11" i="17" s="1"/>
  <c r="J11" i="17" s="1"/>
  <c r="K11" i="17" s="1"/>
  <c r="L11" i="17" s="1"/>
  <c r="M11" i="17" s="1"/>
  <c r="N11" i="17" s="1"/>
  <c r="O11" i="17" s="1"/>
  <c r="P11" i="17" s="1"/>
  <c r="Q11" i="17" s="1"/>
  <c r="H15" i="17"/>
  <c r="I15" i="17" s="1"/>
  <c r="J15" i="17" s="1"/>
  <c r="K15" i="17" s="1"/>
  <c r="L15" i="17" s="1"/>
  <c r="M15" i="17" s="1"/>
  <c r="N15" i="17" s="1"/>
  <c r="O15" i="17" s="1"/>
  <c r="P15" i="17" s="1"/>
  <c r="Q15" i="17" s="1"/>
  <c r="H10" i="17"/>
  <c r="I10" i="17" s="1"/>
  <c r="J10" i="17" s="1"/>
  <c r="K10" i="17" s="1"/>
  <c r="L10" i="17" s="1"/>
  <c r="M10" i="17" s="1"/>
  <c r="N10" i="17" s="1"/>
  <c r="O10" i="17" s="1"/>
  <c r="P10" i="17" s="1"/>
  <c r="Q10" i="17" s="1"/>
  <c r="I8" i="17"/>
  <c r="J8" i="17" s="1"/>
  <c r="K8" i="17" s="1"/>
  <c r="L8" i="17" s="1"/>
  <c r="M8" i="17" s="1"/>
  <c r="N8" i="17" s="1"/>
  <c r="O8" i="17" s="1"/>
  <c r="P8" i="17" s="1"/>
  <c r="Q8" i="17" s="1"/>
  <c r="H9" i="17"/>
  <c r="I9" i="17" s="1"/>
  <c r="J9" i="17" s="1"/>
  <c r="K9" i="17" s="1"/>
  <c r="L9" i="17" s="1"/>
  <c r="M9" i="17" s="1"/>
  <c r="N9" i="17" s="1"/>
  <c r="O9" i="17" s="1"/>
  <c r="P9" i="17" s="1"/>
  <c r="Q9" i="17" s="1"/>
  <c r="F91" i="17" l="1"/>
  <c r="F94" i="17"/>
  <c r="F93" i="17" l="1"/>
  <c r="F51" i="17"/>
  <c r="F59" i="17"/>
  <c r="F50" i="17"/>
  <c r="F53" i="17"/>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s="1"/>
  <c r="N6" i="22"/>
  <c r="Q71" i="17"/>
  <c r="N14" i="22" s="1"/>
  <c r="N11" i="22" s="1"/>
  <c r="Q65" i="17"/>
  <c r="Q52" i="17"/>
  <c r="Q49" i="17" s="1"/>
  <c r="N7" i="22" s="1"/>
  <c r="Q34" i="17"/>
  <c r="Q33" i="17" s="1"/>
  <c r="Q32" i="17" s="1"/>
  <c r="Q28" i="17"/>
  <c r="Q25" i="17"/>
  <c r="Q20" i="17"/>
  <c r="Q7" i="17"/>
  <c r="N8" i="22" l="1"/>
  <c r="Q48" i="17"/>
  <c r="Q47" i="17" s="1"/>
  <c r="Q115" i="17" s="1"/>
  <c r="Q126" i="17" s="1"/>
  <c r="Q96" i="17"/>
  <c r="Q24" i="17"/>
  <c r="Q23" i="17" s="1"/>
  <c r="Q6" i="17" s="1"/>
  <c r="N5" i="22" l="1"/>
  <c r="N9" i="22" s="1"/>
  <c r="N10"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89" i="17"/>
  <c r="E61" i="17"/>
  <c r="E21" i="17"/>
  <c r="E108" i="17"/>
  <c r="E35" i="17"/>
  <c r="E22" i="17"/>
  <c r="E119" i="17"/>
  <c r="E29" i="17"/>
  <c r="E14" i="17"/>
  <c r="E39" i="17"/>
  <c r="E9" i="17"/>
  <c r="E91" i="17"/>
  <c r="E36" i="17"/>
  <c r="E26" i="17"/>
  <c r="E43" i="17"/>
  <c r="E13" i="17"/>
  <c r="E95" i="17"/>
  <c r="E16" i="17"/>
  <c r="E104" i="17"/>
  <c r="E103" i="17" s="1"/>
  <c r="E27" i="17"/>
  <c r="E121" i="17"/>
  <c r="E105" i="17"/>
  <c r="E44" i="17"/>
  <c r="E46" i="17"/>
  <c r="E55" i="17"/>
  <c r="E45" i="17"/>
  <c r="E31" i="17"/>
  <c r="E51" i="17"/>
  <c r="E58" i="17"/>
  <c r="E59" i="17"/>
  <c r="E30" i="17"/>
  <c r="E42" i="17"/>
  <c r="E56" i="17"/>
  <c r="E67" i="17"/>
  <c r="E63" i="17"/>
  <c r="E37" i="17"/>
  <c r="E10" i="17"/>
  <c r="E40" i="17"/>
  <c r="E38" i="17"/>
  <c r="E50" i="17"/>
  <c r="E17" i="17"/>
  <c r="E18" i="17"/>
  <c r="E64" i="17"/>
  <c r="E86" i="17"/>
  <c r="E73" i="17"/>
  <c r="E66" i="17"/>
  <c r="E72" i="17"/>
  <c r="E69" i="17"/>
  <c r="E92" i="17"/>
  <c r="E79" i="17"/>
  <c r="E53" i="17"/>
  <c r="E82" i="17"/>
  <c r="E81" i="17" s="1"/>
  <c r="E76" i="17"/>
  <c r="E106" i="17"/>
  <c r="E83" i="17"/>
  <c r="E57" i="17"/>
  <c r="E54" i="17"/>
  <c r="E60" i="17"/>
  <c r="E78" i="17"/>
  <c r="E68" i="17"/>
  <c r="E41" i="17"/>
  <c r="E62" i="17"/>
  <c r="E84" i="17"/>
  <c r="E11" i="17"/>
  <c r="E93" i="17"/>
  <c r="E85" i="17"/>
  <c r="E8" i="17"/>
  <c r="E71" i="17"/>
  <c r="B14" i="22" s="1"/>
  <c r="E25" i="17"/>
  <c r="E100" i="17"/>
  <c r="E99" i="17" s="1"/>
  <c r="E122" i="17"/>
  <c r="E28"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C32" i="47" l="1"/>
  <c r="C9" i="47"/>
  <c r="E24" i="17"/>
  <c r="E7" i="17"/>
  <c r="E52" i="17"/>
  <c r="E49" i="17" s="1"/>
  <c r="B7" i="22" s="1"/>
  <c r="E34" i="17"/>
  <c r="E33" i="17" s="1"/>
  <c r="E32" i="17" s="1"/>
  <c r="E75" i="17"/>
  <c r="B6" i="22" s="1"/>
  <c r="E98" i="17"/>
  <c r="E65" i="17"/>
  <c r="E88" i="17"/>
  <c r="E87" i="17" s="1"/>
  <c r="C16" i="47"/>
  <c r="C11" i="47"/>
  <c r="C22" i="47"/>
  <c r="C35" i="47" s="1"/>
  <c r="D5" i="47"/>
  <c r="D32" i="47" s="1"/>
  <c r="E6" i="47"/>
  <c r="I4" i="17"/>
  <c r="C26" i="47" l="1"/>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s="1"/>
  <c r="G10" i="22"/>
  <c r="G11" i="22" s="1"/>
  <c r="E10" i="22"/>
  <c r="E11" i="22" s="1"/>
  <c r="I10" i="22"/>
  <c r="I11" i="22" s="1"/>
  <c r="F10" i="22"/>
  <c r="F11" i="22" s="1"/>
  <c r="D10" i="22"/>
  <c r="D11" i="22"/>
  <c r="L10" i="22"/>
  <c r="L11" i="22"/>
  <c r="K10" i="22"/>
  <c r="K11" i="22" s="1"/>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<sst xmlns="http://schemas.openxmlformats.org/spreadsheetml/2006/main" count="16962" uniqueCount="1664">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</sst>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_(&quot;$&quot;\ * #,##0.00_);_(&quot;$&quot;\ * \(#,##0.00\);_(&quot;$&quot;\ * &quot;-&quot;??_);_(@_)"/>
    <numFmt numFmtId="165" formatCode="_(* #,##0.00_);_(* \(#,##0.00\);_(* &quot;-&quot;??_);_(@_)"/>
    <numFmt numFmtId="166" formatCode="&quot;$&quot;#,##0;\-&quot;$&quot;#,##0"/>
    <numFmt numFmtId="167" formatCode="_-* #,##0.00\ _€_-;\-* #,##0.00\ _€_-;_-* &quot;-&quot;??\ _€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5"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5"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6" fontId="24" fillId="0" borderId="0">
      <protection locked="0"/>
    </xf>
    <xf numFmtId="166" fontId="24" fillId="0" borderId="0">
      <protection locked="0"/>
    </xf>
    <xf numFmtId="166" fontId="24" fillId="0" borderId="0">
      <protection locked="0"/>
    </xf>
    <xf numFmtId="166"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5" fontId="6" fillId="0" borderId="0" applyFont="0" applyFill="0" applyBorder="0" applyAlignment="0" applyProtection="0"/>
    <xf numFmtId="16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4"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5" fontId="1" fillId="0" borderId="0" applyFont="0" applyFill="0" applyBorder="0" applyAlignment="0" applyProtection="0"/>
  </cellStyleXfs>
  <cellXfs count="253">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5" fontId="0" fillId="34" borderId="0" xfId="313" applyFont="1" applyFill="1" applyBorder="1"/>
    <xf numFmtId="165"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169" fontId="32" fillId="0" borderId="0" xfId="0" applyNumberFormat="1" applyFont="1" applyProtection="1">
      <protection locked="0"/>
    </xf>
    <xf numFmtId="3" fontId="0" fillId="0" borderId="18" xfId="0" applyNumberFormat="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D10" sqref="D10"/>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6" t="s">
        <v>1445</v>
      </c>
      <c r="D1" s="246"/>
      <c r="E1" s="108"/>
      <c r="F1" s="47"/>
      <c r="G1" s="47"/>
      <c r="H1" s="47"/>
      <c r="I1" s="47"/>
      <c r="J1" s="47"/>
      <c r="K1" s="47"/>
      <c r="L1" s="47"/>
      <c r="M1" s="47"/>
      <c r="N1" s="47"/>
      <c r="O1" s="47"/>
      <c r="P1" s="47"/>
    </row>
    <row r="2" spans="1:17" ht="28.5" customHeight="1">
      <c r="A2" s="46"/>
      <c r="B2" s="46"/>
      <c r="C2" s="247" t="str">
        <f>+Entidad!B10</f>
        <v>CAMPOALEGRE</v>
      </c>
      <c r="D2" s="247"/>
      <c r="E2" s="114"/>
      <c r="F2" s="47"/>
      <c r="G2" s="47"/>
      <c r="H2" s="47"/>
      <c r="I2" s="47"/>
      <c r="J2" s="47"/>
      <c r="K2" s="47"/>
      <c r="L2" s="47"/>
      <c r="M2" s="47"/>
      <c r="N2" s="47"/>
      <c r="O2" s="47"/>
      <c r="P2" s="47"/>
    </row>
    <row r="3" spans="1:17" ht="16.5">
      <c r="A3" s="46"/>
      <c r="B3" s="46"/>
      <c r="C3" s="248" t="s">
        <v>1389</v>
      </c>
      <c r="D3" s="248"/>
      <c r="E3" s="115"/>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27893.520000000004</v>
      </c>
      <c r="F5" s="12">
        <f t="shared" ref="F5" si="2">F6+F75</f>
        <v>27039</v>
      </c>
      <c r="G5" s="12">
        <f t="shared" ref="G5:P5" si="3">G6+G75</f>
        <v>27597.905671</v>
      </c>
      <c r="H5" s="12">
        <f t="shared" si="3"/>
        <v>28425.842841129997</v>
      </c>
      <c r="I5" s="12">
        <f t="shared" si="3"/>
        <v>29278.618126363901</v>
      </c>
      <c r="J5" s="12">
        <f t="shared" si="3"/>
        <v>30156.976670154821</v>
      </c>
      <c r="K5" s="12">
        <f t="shared" si="3"/>
        <v>31061.685970259467</v>
      </c>
      <c r="L5" s="12">
        <f t="shared" si="3"/>
        <v>31993.536549367251</v>
      </c>
      <c r="M5" s="12">
        <f t="shared" si="3"/>
        <v>32953.342645848272</v>
      </c>
      <c r="N5" s="12">
        <f t="shared" si="3"/>
        <v>33941.942925223717</v>
      </c>
      <c r="O5" s="12">
        <f t="shared" si="3"/>
        <v>34960.201212980435</v>
      </c>
      <c r="P5" s="12">
        <f t="shared" si="3"/>
        <v>36009.007249369846</v>
      </c>
      <c r="Q5" s="12">
        <f t="shared" ref="Q5" si="4">Q6+Q75</f>
        <v>37089.277466850945</v>
      </c>
    </row>
    <row r="6" spans="1:17">
      <c r="A6" s="14" t="s">
        <v>1392</v>
      </c>
      <c r="B6" s="14" t="s">
        <v>1395</v>
      </c>
      <c r="C6" s="11" t="s">
        <v>4</v>
      </c>
      <c r="D6" s="11" t="s">
        <v>144</v>
      </c>
      <c r="E6" s="13">
        <f t="shared" ref="E6" si="5">E7+E20+E23</f>
        <v>27720.262000000002</v>
      </c>
      <c r="F6" s="13">
        <f t="shared" ref="F6" si="6">F7+F20+F23</f>
        <v>25519</v>
      </c>
      <c r="G6" s="13">
        <f t="shared" ref="G6:P6" si="7">G7+G20+G23</f>
        <v>27577.905671</v>
      </c>
      <c r="H6" s="13">
        <f t="shared" si="7"/>
        <v>28405.242841129999</v>
      </c>
      <c r="I6" s="13">
        <f t="shared" si="7"/>
        <v>29257.4001263639</v>
      </c>
      <c r="J6" s="13">
        <f t="shared" si="7"/>
        <v>30135.122130154821</v>
      </c>
      <c r="K6" s="13">
        <f t="shared" si="7"/>
        <v>31039.175794059465</v>
      </c>
      <c r="L6" s="13">
        <f t="shared" si="7"/>
        <v>31970.351067881249</v>
      </c>
      <c r="M6" s="13">
        <f t="shared" si="7"/>
        <v>32929.461599917689</v>
      </c>
      <c r="N6" s="13">
        <f t="shared" si="7"/>
        <v>33917.345447915221</v>
      </c>
      <c r="O6" s="13">
        <f t="shared" si="7"/>
        <v>34934.865811352684</v>
      </c>
      <c r="P6" s="13">
        <f t="shared" si="7"/>
        <v>35982.911785693264</v>
      </c>
      <c r="Q6" s="13">
        <f t="shared" ref="Q6" si="8">Q7+Q20+Q23</f>
        <v>37062.39913926406</v>
      </c>
    </row>
    <row r="7" spans="1:17">
      <c r="A7" s="14" t="s">
        <v>1392</v>
      </c>
      <c r="B7" s="14" t="s">
        <v>1395</v>
      </c>
      <c r="C7" s="11" t="s">
        <v>5</v>
      </c>
      <c r="D7" s="11" t="s">
        <v>145</v>
      </c>
      <c r="E7" s="13">
        <f t="shared" ref="E7" si="9">SUM(E8:E19)</f>
        <v>5165.5929999999998</v>
      </c>
      <c r="F7" s="13">
        <f t="shared" ref="F7" si="10">SUM(F8:F19)</f>
        <v>4897</v>
      </c>
      <c r="G7" s="13">
        <f t="shared" ref="G7:P7" si="11">SUM(G8:G19)</f>
        <v>5209.0685939999985</v>
      </c>
      <c r="H7" s="13">
        <f t="shared" si="11"/>
        <v>5365.340651819999</v>
      </c>
      <c r="I7" s="13">
        <f t="shared" si="11"/>
        <v>5526.3008713745994</v>
      </c>
      <c r="J7" s="13">
        <f t="shared" si="11"/>
        <v>5692.0898975158379</v>
      </c>
      <c r="K7" s="13">
        <f t="shared" si="11"/>
        <v>5862.8525944413122</v>
      </c>
      <c r="L7" s="13">
        <f t="shared" si="11"/>
        <v>6038.7381722745513</v>
      </c>
      <c r="M7" s="13">
        <f t="shared" si="11"/>
        <v>6219.9003174427889</v>
      </c>
      <c r="N7" s="13">
        <f t="shared" si="11"/>
        <v>6406.4973269660713</v>
      </c>
      <c r="O7" s="13">
        <f t="shared" si="11"/>
        <v>6598.6922467750546</v>
      </c>
      <c r="P7" s="13">
        <f t="shared" si="11"/>
        <v>6796.653014178306</v>
      </c>
      <c r="Q7" s="13">
        <f t="shared" ref="Q7" si="12">SUM(Q8:Q19)</f>
        <v>7000.5526046036557</v>
      </c>
    </row>
    <row r="8" spans="1:17">
      <c r="A8" s="14" t="s">
        <v>119</v>
      </c>
      <c r="B8" s="14" t="s">
        <v>1396</v>
      </c>
      <c r="C8" s="14" t="s">
        <v>6</v>
      </c>
      <c r="D8" s="15" t="s">
        <v>146</v>
      </c>
      <c r="E8" s="34">
        <f>IFERROR(VLOOKUP(Entidad!$B$12&amp;"-"&amp;'Plan Financiero'!$C8,DAF_BalanceFinancieroVA!$A$2:$H$2926,8,FALSE),0)</f>
        <v>71.58</v>
      </c>
      <c r="F8" s="48">
        <v>2</v>
      </c>
      <c r="G8" s="48">
        <v>0</v>
      </c>
      <c r="H8" s="48">
        <v>0</v>
      </c>
      <c r="I8" s="48">
        <f>+H8</f>
        <v>0</v>
      </c>
      <c r="J8" s="48">
        <f t="shared" ref="J8:Q8" si="13">+I8</f>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1294.739</v>
      </c>
      <c r="F9" s="48">
        <v>1216</v>
      </c>
      <c r="G9" s="230">
        <v>1289.470808</v>
      </c>
      <c r="H9" s="48">
        <f>+G9*1.03</f>
        <v>1328.1549322400001</v>
      </c>
      <c r="I9" s="48">
        <f>+H9*1.03</f>
        <v>1367.9995802072001</v>
      </c>
      <c r="J9" s="48">
        <f>+I9*1.03</f>
        <v>1409.0395676134162</v>
      </c>
      <c r="K9" s="48">
        <f t="shared" ref="K9:Q9" si="14">+J9*1.03</f>
        <v>1451.3107546418187</v>
      </c>
      <c r="L9" s="48">
        <f t="shared" si="14"/>
        <v>1494.8500772810733</v>
      </c>
      <c r="M9" s="48">
        <f t="shared" si="14"/>
        <v>1539.6955795995054</v>
      </c>
      <c r="N9" s="48">
        <f t="shared" si="14"/>
        <v>1585.8864469874907</v>
      </c>
      <c r="O9" s="48">
        <f t="shared" si="14"/>
        <v>1633.4630403971155</v>
      </c>
      <c r="P9" s="48">
        <f t="shared" si="14"/>
        <v>1682.466931609029</v>
      </c>
      <c r="Q9" s="48">
        <f t="shared" si="14"/>
        <v>1732.9409395572998</v>
      </c>
    </row>
    <row r="10" spans="1:17">
      <c r="A10" s="14" t="s">
        <v>119</v>
      </c>
      <c r="B10" s="14" t="s">
        <v>1396</v>
      </c>
      <c r="C10" s="14" t="s">
        <v>8</v>
      </c>
      <c r="D10" s="15" t="s">
        <v>148</v>
      </c>
      <c r="E10" s="34">
        <f>IFERROR(VLOOKUP(Entidad!$B$12&amp;"-"&amp;'Plan Financiero'!$C10,DAF_BalanceFinancieroVA!$A$2:$H$2926,8,FALSE),0)</f>
        <v>1162.759</v>
      </c>
      <c r="F10" s="48">
        <v>1207</v>
      </c>
      <c r="G10" s="48">
        <v>1465</v>
      </c>
      <c r="H10" s="48">
        <f>+G10*1.03</f>
        <v>1508.95</v>
      </c>
      <c r="I10" s="48">
        <f t="shared" ref="I10:Q10" si="15">+H10*1.03</f>
        <v>1554.2185000000002</v>
      </c>
      <c r="J10" s="48">
        <f t="shared" si="15"/>
        <v>1600.8450550000002</v>
      </c>
      <c r="K10" s="48">
        <f t="shared" si="15"/>
        <v>1648.8704066500002</v>
      </c>
      <c r="L10" s="48">
        <f t="shared" si="15"/>
        <v>1698.3365188495002</v>
      </c>
      <c r="M10" s="48">
        <f t="shared" si="15"/>
        <v>1749.2866144149853</v>
      </c>
      <c r="N10" s="48">
        <f t="shared" si="15"/>
        <v>1801.7652128474349</v>
      </c>
      <c r="O10" s="48">
        <f t="shared" si="15"/>
        <v>1855.8181692328581</v>
      </c>
      <c r="P10" s="48">
        <f t="shared" si="15"/>
        <v>1911.4927143098439</v>
      </c>
      <c r="Q10" s="48">
        <f t="shared" si="15"/>
        <v>1968.8374957391393</v>
      </c>
    </row>
    <row r="11" spans="1:17">
      <c r="A11" s="14" t="s">
        <v>119</v>
      </c>
      <c r="B11" s="14" t="s">
        <v>1396</v>
      </c>
      <c r="C11" s="14" t="s">
        <v>9</v>
      </c>
      <c r="D11" s="15" t="s">
        <v>149</v>
      </c>
      <c r="E11" s="34">
        <f>IFERROR(VLOOKUP(Entidad!$B$12&amp;"-"&amp;'Plan Financiero'!$C11,DAF_BalanceFinancieroVA!$A$2:$H$2926,8,FALSE),0)</f>
        <v>0</v>
      </c>
      <c r="F11" s="48">
        <v>0</v>
      </c>
      <c r="G11" s="48">
        <v>0</v>
      </c>
      <c r="H11" s="48">
        <f>+G11</f>
        <v>0</v>
      </c>
      <c r="I11" s="48">
        <f t="shared" ref="I11:Q11" si="16">+H11</f>
        <v>0</v>
      </c>
      <c r="J11" s="48">
        <f t="shared" si="16"/>
        <v>0</v>
      </c>
      <c r="K11" s="48">
        <f t="shared" si="16"/>
        <v>0</v>
      </c>
      <c r="L11" s="48">
        <f t="shared" si="16"/>
        <v>0</v>
      </c>
      <c r="M11" s="48">
        <f t="shared" si="16"/>
        <v>0</v>
      </c>
      <c r="N11" s="48">
        <f t="shared" si="16"/>
        <v>0</v>
      </c>
      <c r="O11" s="48">
        <f t="shared" si="16"/>
        <v>0</v>
      </c>
      <c r="P11" s="48">
        <f t="shared" si="16"/>
        <v>0</v>
      </c>
      <c r="Q11" s="48">
        <f t="shared" si="16"/>
        <v>0</v>
      </c>
    </row>
    <row r="12" spans="1:17">
      <c r="A12" s="14" t="s">
        <v>119</v>
      </c>
      <c r="B12" s="14" t="s">
        <v>1396</v>
      </c>
      <c r="C12" s="14" t="s">
        <v>10</v>
      </c>
      <c r="D12" s="15" t="s">
        <v>150</v>
      </c>
      <c r="E12" s="34">
        <f>IFERROR(VLOOKUP(Entidad!$B$12&amp;"-"&amp;'Plan Financiero'!$C12,DAF_BalanceFinancieroVA!$A$2:$H$2926,8,FALSE),0)</f>
        <v>0</v>
      </c>
      <c r="F12" s="48">
        <v>0</v>
      </c>
      <c r="G12" s="48">
        <v>0</v>
      </c>
      <c r="H12" s="48">
        <f t="shared" ref="H12:Q14" si="17">+G12</f>
        <v>0</v>
      </c>
      <c r="I12" s="48">
        <f t="shared" si="17"/>
        <v>0</v>
      </c>
      <c r="J12" s="48">
        <f t="shared" si="17"/>
        <v>0</v>
      </c>
      <c r="K12" s="48">
        <f t="shared" si="17"/>
        <v>0</v>
      </c>
      <c r="L12" s="48">
        <f t="shared" si="17"/>
        <v>0</v>
      </c>
      <c r="M12" s="48">
        <f t="shared" si="17"/>
        <v>0</v>
      </c>
      <c r="N12" s="48">
        <f t="shared" si="17"/>
        <v>0</v>
      </c>
      <c r="O12" s="48">
        <f t="shared" si="17"/>
        <v>0</v>
      </c>
      <c r="P12" s="48">
        <f t="shared" si="17"/>
        <v>0</v>
      </c>
      <c r="Q12" s="48">
        <f t="shared" si="17"/>
        <v>0</v>
      </c>
    </row>
    <row r="13" spans="1:17">
      <c r="A13" s="14" t="s">
        <v>119</v>
      </c>
      <c r="B13" s="14" t="s">
        <v>1396</v>
      </c>
      <c r="C13" s="14" t="s">
        <v>11</v>
      </c>
      <c r="D13" s="15" t="s">
        <v>151</v>
      </c>
      <c r="E13" s="34">
        <f>IFERROR(VLOOKUP(Entidad!$B$12&amp;"-"&amp;'Plan Financiero'!$C13,DAF_BalanceFinancieroVA!$A$2:$H$2926,8,FALSE),0)</f>
        <v>0</v>
      </c>
      <c r="F13" s="48">
        <v>0</v>
      </c>
      <c r="G13" s="48">
        <v>0</v>
      </c>
      <c r="H13" s="48">
        <f t="shared" si="17"/>
        <v>0</v>
      </c>
      <c r="I13" s="48">
        <f t="shared" si="17"/>
        <v>0</v>
      </c>
      <c r="J13" s="48">
        <f t="shared" si="17"/>
        <v>0</v>
      </c>
      <c r="K13" s="48">
        <f t="shared" si="17"/>
        <v>0</v>
      </c>
      <c r="L13" s="48">
        <f t="shared" si="17"/>
        <v>0</v>
      </c>
      <c r="M13" s="48">
        <f t="shared" si="17"/>
        <v>0</v>
      </c>
      <c r="N13" s="48">
        <f t="shared" si="17"/>
        <v>0</v>
      </c>
      <c r="O13" s="48">
        <f t="shared" si="17"/>
        <v>0</v>
      </c>
      <c r="P13" s="48">
        <f t="shared" si="17"/>
        <v>0</v>
      </c>
      <c r="Q13" s="48">
        <f t="shared" si="17"/>
        <v>0</v>
      </c>
    </row>
    <row r="14" spans="1:17">
      <c r="A14" s="14" t="s">
        <v>119</v>
      </c>
      <c r="B14" s="14" t="s">
        <v>1396</v>
      </c>
      <c r="C14" s="14" t="s">
        <v>12</v>
      </c>
      <c r="D14" s="15" t="s">
        <v>152</v>
      </c>
      <c r="E14" s="34">
        <f>IFERROR(VLOOKUP(Entidad!$B$12&amp;"-"&amp;'Plan Financiero'!$C14,DAF_BalanceFinancieroVA!$A$2:$H$2926,8,FALSE),0)</f>
        <v>0</v>
      </c>
      <c r="F14" s="48">
        <v>0</v>
      </c>
      <c r="G14" s="48">
        <v>0</v>
      </c>
      <c r="H14" s="48">
        <f t="shared" si="17"/>
        <v>0</v>
      </c>
      <c r="I14" s="48">
        <f t="shared" si="17"/>
        <v>0</v>
      </c>
      <c r="J14" s="48">
        <f t="shared" si="17"/>
        <v>0</v>
      </c>
      <c r="K14" s="48">
        <f t="shared" si="17"/>
        <v>0</v>
      </c>
      <c r="L14" s="48">
        <f t="shared" si="17"/>
        <v>0</v>
      </c>
      <c r="M14" s="48">
        <f t="shared" si="17"/>
        <v>0</v>
      </c>
      <c r="N14" s="48">
        <f t="shared" si="17"/>
        <v>0</v>
      </c>
      <c r="O14" s="48">
        <f t="shared" si="17"/>
        <v>0</v>
      </c>
      <c r="P14" s="48">
        <f t="shared" si="17"/>
        <v>0</v>
      </c>
      <c r="Q14" s="48">
        <f t="shared" si="17"/>
        <v>0</v>
      </c>
    </row>
    <row r="15" spans="1:17">
      <c r="A15" s="14" t="s">
        <v>119</v>
      </c>
      <c r="B15" s="14" t="s">
        <v>1396</v>
      </c>
      <c r="C15" s="14" t="s">
        <v>13</v>
      </c>
      <c r="D15" s="15" t="s">
        <v>153</v>
      </c>
      <c r="E15" s="34">
        <f>IFERROR(VLOOKUP(Entidad!$B$12&amp;"-"&amp;'Plan Financiero'!$C15,DAF_BalanceFinancieroVA!$A$2:$H$2926,8,FALSE),0)</f>
        <v>1090.451</v>
      </c>
      <c r="F15" s="48">
        <v>1098</v>
      </c>
      <c r="G15" s="48">
        <v>1164.07186</v>
      </c>
      <c r="H15" s="48">
        <f>+G15*1.03</f>
        <v>1198.9940157999999</v>
      </c>
      <c r="I15" s="48">
        <f>+H15*1.03</f>
        <v>1234.963836274</v>
      </c>
      <c r="J15" s="48">
        <f t="shared" ref="J15:Q16" si="18">+I15*1.03</f>
        <v>1272.0127513622199</v>
      </c>
      <c r="K15" s="48">
        <f t="shared" si="18"/>
        <v>1310.1731339030864</v>
      </c>
      <c r="L15" s="48">
        <f t="shared" si="18"/>
        <v>1349.478327920179</v>
      </c>
      <c r="M15" s="48">
        <f t="shared" si="18"/>
        <v>1389.9626777577844</v>
      </c>
      <c r="N15" s="48">
        <f t="shared" si="18"/>
        <v>1431.6615580905179</v>
      </c>
      <c r="O15" s="48">
        <f t="shared" si="18"/>
        <v>1474.6114048332336</v>
      </c>
      <c r="P15" s="48">
        <f t="shared" si="18"/>
        <v>1518.8497469782305</v>
      </c>
      <c r="Q15" s="48">
        <f t="shared" si="18"/>
        <v>1564.4152393875775</v>
      </c>
    </row>
    <row r="16" spans="1:17">
      <c r="A16" s="14" t="s">
        <v>119</v>
      </c>
      <c r="B16" s="14" t="s">
        <v>1396</v>
      </c>
      <c r="C16" s="14" t="s">
        <v>14</v>
      </c>
      <c r="D16" s="15" t="s">
        <v>154</v>
      </c>
      <c r="E16" s="34">
        <f>IFERROR(VLOOKUP(Entidad!$B$12&amp;"-"&amp;'Plan Financiero'!$C16,DAF_BalanceFinancieroVA!$A$2:$H$2926,8,FALSE),0)</f>
        <v>617.32299999999998</v>
      </c>
      <c r="F16" s="48">
        <v>377</v>
      </c>
      <c r="G16" s="48">
        <v>399.76951400000002</v>
      </c>
      <c r="H16" s="48">
        <f>+G16*1.03</f>
        <v>411.76259942000002</v>
      </c>
      <c r="I16" s="48">
        <f>+H16*1.03</f>
        <v>424.11547740260005</v>
      </c>
      <c r="J16" s="48">
        <f t="shared" si="18"/>
        <v>436.83894172467808</v>
      </c>
      <c r="K16" s="48">
        <f t="shared" si="18"/>
        <v>449.94410997641842</v>
      </c>
      <c r="L16" s="48">
        <f t="shared" si="18"/>
        <v>463.44243327571098</v>
      </c>
      <c r="M16" s="48">
        <f t="shared" si="18"/>
        <v>477.34570627398233</v>
      </c>
      <c r="N16" s="48">
        <f t="shared" si="18"/>
        <v>491.66607746220183</v>
      </c>
      <c r="O16" s="48">
        <f t="shared" si="18"/>
        <v>506.41605978606788</v>
      </c>
      <c r="P16" s="48">
        <f t="shared" si="18"/>
        <v>521.60854157964991</v>
      </c>
      <c r="Q16" s="48">
        <f t="shared" si="18"/>
        <v>537.25679782703946</v>
      </c>
    </row>
    <row r="17" spans="1:17">
      <c r="A17" s="14" t="s">
        <v>119</v>
      </c>
      <c r="B17" s="14" t="s">
        <v>1396</v>
      </c>
      <c r="C17" s="14" t="s">
        <v>155</v>
      </c>
      <c r="D17" s="15" t="s">
        <v>156</v>
      </c>
      <c r="E17" s="34">
        <f>IFERROR(VLOOKUP(Entidad!$B$12&amp;"-"&amp;'Plan Financiero'!$C17,DAF_BalanceFinancieroVA!$A$2:$H$2926,8,FALSE),0)</f>
        <v>62.088999999999999</v>
      </c>
      <c r="F17" s="48">
        <v>118</v>
      </c>
      <c r="G17" s="48">
        <v>48.8</v>
      </c>
      <c r="H17" s="48">
        <f>+G17*1.03</f>
        <v>50.263999999999996</v>
      </c>
      <c r="I17" s="48">
        <f t="shared" ref="I17:Q17" si="19">+H17*1.03</f>
        <v>51.771919999999994</v>
      </c>
      <c r="J17" s="48">
        <f t="shared" si="19"/>
        <v>53.325077599999993</v>
      </c>
      <c r="K17" s="48">
        <f t="shared" si="19"/>
        <v>54.924829927999994</v>
      </c>
      <c r="L17" s="48">
        <f t="shared" si="19"/>
        <v>56.572574825839993</v>
      </c>
      <c r="M17" s="48">
        <f t="shared" si="19"/>
        <v>58.269752070615198</v>
      </c>
      <c r="N17" s="48">
        <f t="shared" si="19"/>
        <v>60.017844632733656</v>
      </c>
      <c r="O17" s="48">
        <f t="shared" si="19"/>
        <v>61.818379971715665</v>
      </c>
      <c r="P17" s="48">
        <f t="shared" si="19"/>
        <v>63.672931370867133</v>
      </c>
      <c r="Q17" s="48">
        <f t="shared" si="19"/>
        <v>65.583119311993144</v>
      </c>
    </row>
    <row r="18" spans="1:17">
      <c r="A18" s="14" t="s">
        <v>119</v>
      </c>
      <c r="B18" s="14" t="s">
        <v>1396</v>
      </c>
      <c r="C18" s="14" t="s">
        <v>157</v>
      </c>
      <c r="D18" s="15" t="s">
        <v>158</v>
      </c>
      <c r="E18" s="34">
        <f>IFERROR(VLOOKUP(Entidad!$B$12&amp;"-"&amp;'Plan Financiero'!$C18,DAF_BalanceFinancieroVA!$A$2:$H$2926,8,FALSE),0)</f>
        <v>0</v>
      </c>
      <c r="F18" s="48">
        <v>0</v>
      </c>
      <c r="G18" s="48">
        <v>0</v>
      </c>
      <c r="H18" s="48">
        <f>+G18</f>
        <v>0</v>
      </c>
      <c r="I18" s="48">
        <f t="shared" ref="I18:Q18" si="20">+H18</f>
        <v>0</v>
      </c>
      <c r="J18" s="48">
        <f t="shared" si="20"/>
        <v>0</v>
      </c>
      <c r="K18" s="48">
        <f t="shared" si="20"/>
        <v>0</v>
      </c>
      <c r="L18" s="48">
        <f t="shared" si="20"/>
        <v>0</v>
      </c>
      <c r="M18" s="48">
        <f t="shared" si="20"/>
        <v>0</v>
      </c>
      <c r="N18" s="48">
        <f t="shared" si="20"/>
        <v>0</v>
      </c>
      <c r="O18" s="48">
        <f t="shared" si="20"/>
        <v>0</v>
      </c>
      <c r="P18" s="48">
        <f t="shared" si="20"/>
        <v>0</v>
      </c>
      <c r="Q18" s="48">
        <f t="shared" si="20"/>
        <v>0</v>
      </c>
    </row>
    <row r="19" spans="1:17">
      <c r="A19" s="14" t="s">
        <v>119</v>
      </c>
      <c r="B19" s="14" t="s">
        <v>1396</v>
      </c>
      <c r="C19" s="14" t="s">
        <v>15</v>
      </c>
      <c r="D19" s="15" t="s">
        <v>159</v>
      </c>
      <c r="E19" s="34">
        <f>IFERROR(VLOOKUP(Entidad!$B$12&amp;"-"&amp;'Plan Financiero'!$C19,DAF_BalanceFinancieroVA!$A$2:$H$2926,8,FALSE),0)</f>
        <v>866.65200000000004</v>
      </c>
      <c r="F19" s="48">
        <v>879</v>
      </c>
      <c r="G19" s="48">
        <f>918.956411999999-77</f>
        <v>841.95641199999898</v>
      </c>
      <c r="H19" s="48">
        <f>+G19*1.03</f>
        <v>867.21510435999892</v>
      </c>
      <c r="I19" s="48">
        <f t="shared" ref="I19:Q19" si="21">+H19*1.03</f>
        <v>893.23155749079888</v>
      </c>
      <c r="J19" s="48">
        <f t="shared" si="21"/>
        <v>920.02850421552284</v>
      </c>
      <c r="K19" s="48">
        <f t="shared" si="21"/>
        <v>947.62935934198856</v>
      </c>
      <c r="L19" s="48">
        <f t="shared" si="21"/>
        <v>976.05824012224821</v>
      </c>
      <c r="M19" s="48">
        <f t="shared" si="21"/>
        <v>1005.3399873259157</v>
      </c>
      <c r="N19" s="48">
        <f t="shared" si="21"/>
        <v>1035.5001869456933</v>
      </c>
      <c r="O19" s="48">
        <f t="shared" si="21"/>
        <v>1066.5651925540642</v>
      </c>
      <c r="P19" s="48">
        <f t="shared" si="21"/>
        <v>1098.5621483306861</v>
      </c>
      <c r="Q19" s="48">
        <f t="shared" si="21"/>
        <v>1131.5190127806068</v>
      </c>
    </row>
    <row r="20" spans="1:17">
      <c r="A20" s="14" t="s">
        <v>1392</v>
      </c>
      <c r="B20" s="14" t="s">
        <v>1395</v>
      </c>
      <c r="C20" s="11" t="s">
        <v>16</v>
      </c>
      <c r="D20" s="11" t="s">
        <v>160</v>
      </c>
      <c r="E20" s="13">
        <f t="shared" ref="E20" si="22">SUM(E21:E22)</f>
        <v>742.78899999999999</v>
      </c>
      <c r="F20" s="13">
        <f t="shared" ref="F20" si="23">SUM(F21:F22)</f>
        <v>410</v>
      </c>
      <c r="G20" s="13">
        <f t="shared" ref="G20" si="24">SUM(G21:G22)</f>
        <v>436.68864500000001</v>
      </c>
      <c r="H20" s="13">
        <f t="shared" ref="H20:P20" si="25">SUM(H21:H22)</f>
        <v>449.78930435000001</v>
      </c>
      <c r="I20" s="13">
        <f t="shared" si="25"/>
        <v>463.28298348049998</v>
      </c>
      <c r="J20" s="13">
        <f t="shared" si="25"/>
        <v>477.18147298491499</v>
      </c>
      <c r="K20" s="13">
        <f t="shared" si="25"/>
        <v>491.49691717446251</v>
      </c>
      <c r="L20" s="13">
        <f t="shared" si="25"/>
        <v>506.24182468969633</v>
      </c>
      <c r="M20" s="13">
        <f t="shared" si="25"/>
        <v>521.42907943038722</v>
      </c>
      <c r="N20" s="13">
        <f t="shared" si="25"/>
        <v>537.07195181329882</v>
      </c>
      <c r="O20" s="13">
        <f t="shared" si="25"/>
        <v>553.18411036769783</v>
      </c>
      <c r="P20" s="13">
        <f t="shared" si="25"/>
        <v>569.77963367872871</v>
      </c>
      <c r="Q20" s="13">
        <f t="shared" ref="Q20" si="26">SUM(Q21:Q22)</f>
        <v>586.8730226890907</v>
      </c>
    </row>
    <row r="21" spans="1:17">
      <c r="A21" s="14" t="s">
        <v>119</v>
      </c>
      <c r="B21" s="14" t="s">
        <v>1396</v>
      </c>
      <c r="C21" s="14" t="s">
        <v>17</v>
      </c>
      <c r="D21" s="14" t="s">
        <v>161</v>
      </c>
      <c r="E21" s="34">
        <f>IFERROR(VLOOKUP(Entidad!$B$12&amp;"-"&amp;'Plan Financiero'!$C21,DAF_BalanceFinancieroVA!$A$2:$H$2926,8,FALSE),0)</f>
        <v>306.91399999999999</v>
      </c>
      <c r="F21" s="48">
        <v>290</v>
      </c>
      <c r="G21" s="48">
        <v>307.68864500000001</v>
      </c>
      <c r="H21" s="48">
        <f>+G21*1.03</f>
        <v>316.91930435</v>
      </c>
      <c r="I21" s="48">
        <f t="shared" ref="I21:Q21" si="27">+H21*1.03</f>
        <v>326.42688348050001</v>
      </c>
      <c r="J21" s="48">
        <f t="shared" si="27"/>
        <v>336.21968998491502</v>
      </c>
      <c r="K21" s="48">
        <f t="shared" si="27"/>
        <v>346.30628068446248</v>
      </c>
      <c r="L21" s="48">
        <f t="shared" si="27"/>
        <v>356.69546910499633</v>
      </c>
      <c r="M21" s="48">
        <f t="shared" si="27"/>
        <v>367.39633317814622</v>
      </c>
      <c r="N21" s="48">
        <f t="shared" si="27"/>
        <v>378.41822317349062</v>
      </c>
      <c r="O21" s="48">
        <f t="shared" si="27"/>
        <v>389.77076986869537</v>
      </c>
      <c r="P21" s="48">
        <f t="shared" si="27"/>
        <v>401.46389296475621</v>
      </c>
      <c r="Q21" s="48">
        <f t="shared" si="27"/>
        <v>413.50780975369889</v>
      </c>
    </row>
    <row r="22" spans="1:17">
      <c r="A22" s="14" t="s">
        <v>119</v>
      </c>
      <c r="B22" s="14" t="s">
        <v>1396</v>
      </c>
      <c r="C22" s="14" t="s">
        <v>18</v>
      </c>
      <c r="D22" s="14" t="s">
        <v>162</v>
      </c>
      <c r="E22" s="34">
        <f>IFERROR(VLOOKUP(Entidad!$B$12&amp;"-"&amp;'Plan Financiero'!$C22,DAF_BalanceFinancieroVA!$A$2:$H$2926,8,FALSE),0)</f>
        <v>435.875</v>
      </c>
      <c r="F22" s="48">
        <v>120</v>
      </c>
      <c r="G22" s="48">
        <v>129</v>
      </c>
      <c r="H22" s="48">
        <f>+G22*1.03</f>
        <v>132.87</v>
      </c>
      <c r="I22" s="48">
        <f t="shared" ref="I22:Q22" si="28">+H22*1.03</f>
        <v>136.8561</v>
      </c>
      <c r="J22" s="48">
        <f t="shared" si="28"/>
        <v>140.961783</v>
      </c>
      <c r="K22" s="48">
        <f t="shared" si="28"/>
        <v>145.19063649</v>
      </c>
      <c r="L22" s="48">
        <f t="shared" si="28"/>
        <v>149.5463555847</v>
      </c>
      <c r="M22" s="48">
        <f t="shared" si="28"/>
        <v>154.032746252241</v>
      </c>
      <c r="N22" s="48">
        <f t="shared" si="28"/>
        <v>158.65372863980824</v>
      </c>
      <c r="O22" s="48">
        <f t="shared" si="28"/>
        <v>163.41334049900249</v>
      </c>
      <c r="P22" s="48">
        <f t="shared" si="28"/>
        <v>168.31574071397256</v>
      </c>
      <c r="Q22" s="48">
        <f t="shared" si="28"/>
        <v>173.36521293539175</v>
      </c>
    </row>
    <row r="23" spans="1:17">
      <c r="A23" s="14" t="s">
        <v>1392</v>
      </c>
      <c r="B23" s="14" t="s">
        <v>1395</v>
      </c>
      <c r="C23" s="11" t="s">
        <v>19</v>
      </c>
      <c r="D23" s="11" t="s">
        <v>163</v>
      </c>
      <c r="E23" s="13">
        <f t="shared" ref="E23" si="29">E24+E32</f>
        <v>21811.88</v>
      </c>
      <c r="F23" s="13">
        <f t="shared" ref="F23" si="30">F24+F32</f>
        <v>20212</v>
      </c>
      <c r="G23" s="13">
        <f t="shared" ref="G23:P23" si="31">G24+G32</f>
        <v>21932.148432000002</v>
      </c>
      <c r="H23" s="13">
        <f t="shared" si="31"/>
        <v>22590.112884959999</v>
      </c>
      <c r="I23" s="13">
        <f t="shared" si="31"/>
        <v>23267.8162715088</v>
      </c>
      <c r="J23" s="13">
        <f t="shared" si="31"/>
        <v>23965.850759654069</v>
      </c>
      <c r="K23" s="13">
        <f t="shared" si="31"/>
        <v>24684.82628244369</v>
      </c>
      <c r="L23" s="13">
        <f t="shared" si="31"/>
        <v>25425.371070917001</v>
      </c>
      <c r="M23" s="13">
        <f t="shared" si="31"/>
        <v>26188.132203044512</v>
      </c>
      <c r="N23" s="13">
        <f t="shared" si="31"/>
        <v>26973.77616913585</v>
      </c>
      <c r="O23" s="13">
        <f t="shared" si="31"/>
        <v>27782.989454209928</v>
      </c>
      <c r="P23" s="13">
        <f t="shared" si="31"/>
        <v>28616.479137836228</v>
      </c>
      <c r="Q23" s="13">
        <f t="shared" ref="Q23" si="32">Q24+Q32</f>
        <v>29474.973511971311</v>
      </c>
    </row>
    <row r="24" spans="1:17">
      <c r="A24" s="14" t="s">
        <v>1392</v>
      </c>
      <c r="B24" s="14" t="s">
        <v>1395</v>
      </c>
      <c r="C24" s="28" t="s">
        <v>20</v>
      </c>
      <c r="D24" s="28" t="s">
        <v>164</v>
      </c>
      <c r="E24" s="29">
        <f t="shared" ref="E24" si="33">E25+E28+E31</f>
        <v>1763.09</v>
      </c>
      <c r="F24" s="29">
        <f t="shared" ref="F24" si="34">F25+F28+F31</f>
        <v>974</v>
      </c>
      <c r="G24" s="29">
        <f t="shared" ref="G24:P24" si="35">G25+G28+G31</f>
        <v>913.90497300000004</v>
      </c>
      <c r="H24" s="29">
        <f t="shared" si="35"/>
        <v>941.32212219000007</v>
      </c>
      <c r="I24" s="29">
        <f t="shared" si="35"/>
        <v>969.56178585570012</v>
      </c>
      <c r="J24" s="29">
        <f t="shared" si="35"/>
        <v>998.64863943137118</v>
      </c>
      <c r="K24" s="29">
        <f t="shared" si="35"/>
        <v>1028.6080986143122</v>
      </c>
      <c r="L24" s="29">
        <f t="shared" si="35"/>
        <v>1059.4663415727416</v>
      </c>
      <c r="M24" s="29">
        <f t="shared" si="35"/>
        <v>1091.250331819924</v>
      </c>
      <c r="N24" s="29">
        <f t="shared" si="35"/>
        <v>1123.9878417745217</v>
      </c>
      <c r="O24" s="29">
        <f t="shared" si="35"/>
        <v>1157.7074770277575</v>
      </c>
      <c r="P24" s="29">
        <f t="shared" si="35"/>
        <v>1192.4387013385901</v>
      </c>
      <c r="Q24" s="29">
        <f t="shared" ref="Q24" si="36">Q25+Q28+Q31</f>
        <v>1228.2118623787478</v>
      </c>
    </row>
    <row r="25" spans="1:17" s="27" customFormat="1">
      <c r="A25" s="14" t="s">
        <v>1392</v>
      </c>
      <c r="B25" s="14" t="s">
        <v>1395</v>
      </c>
      <c r="C25" s="28" t="s">
        <v>21</v>
      </c>
      <c r="D25" s="28" t="s">
        <v>165</v>
      </c>
      <c r="E25" s="29">
        <f t="shared" ref="E25" si="37">SUM(E26:E27)</f>
        <v>862.19500000000005</v>
      </c>
      <c r="F25" s="29">
        <f t="shared" ref="F25" si="38">SUM(F26:F27)</f>
        <v>857</v>
      </c>
      <c r="G25" s="29">
        <f t="shared" ref="G25:P25" si="39">SUM(G26:G27)</f>
        <v>789.33389199999999</v>
      </c>
      <c r="H25" s="29">
        <f t="shared" si="39"/>
        <v>813.01390876000005</v>
      </c>
      <c r="I25" s="29">
        <f t="shared" si="39"/>
        <v>837.40432602280009</v>
      </c>
      <c r="J25" s="29">
        <f t="shared" si="39"/>
        <v>862.52645580348417</v>
      </c>
      <c r="K25" s="29">
        <f t="shared" si="39"/>
        <v>888.40224947758873</v>
      </c>
      <c r="L25" s="29">
        <f t="shared" si="39"/>
        <v>915.05431696191636</v>
      </c>
      <c r="M25" s="29">
        <f t="shared" si="39"/>
        <v>942.50594647077389</v>
      </c>
      <c r="N25" s="29">
        <f t="shared" si="39"/>
        <v>970.78112486489715</v>
      </c>
      <c r="O25" s="29">
        <f t="shared" si="39"/>
        <v>999.90455861084411</v>
      </c>
      <c r="P25" s="29">
        <f t="shared" si="39"/>
        <v>1029.9016953691694</v>
      </c>
      <c r="Q25" s="29">
        <f t="shared" ref="Q25" si="40">SUM(Q26:Q27)</f>
        <v>1060.7987462302444</v>
      </c>
    </row>
    <row r="26" spans="1:17">
      <c r="A26" s="14" t="s">
        <v>119</v>
      </c>
      <c r="B26" s="14" t="s">
        <v>1396</v>
      </c>
      <c r="C26" s="14" t="s">
        <v>22</v>
      </c>
      <c r="D26" s="14" t="s">
        <v>166</v>
      </c>
      <c r="E26" s="34">
        <f>IFERROR(VLOOKUP(Entidad!$B$12&amp;"-"&amp;'Plan Financiero'!$C26,DAF_BalanceFinancieroVA!$A$2:$H$2926,8,FALSE),0)</f>
        <v>862.19500000000005</v>
      </c>
      <c r="F26" s="48">
        <v>857</v>
      </c>
      <c r="G26" s="48">
        <v>789.33389199999999</v>
      </c>
      <c r="H26" s="48">
        <f>+G26*1.03</f>
        <v>813.01390876000005</v>
      </c>
      <c r="I26" s="48">
        <f t="shared" ref="I26:Q26" si="41">+H26*1.03</f>
        <v>837.40432602280009</v>
      </c>
      <c r="J26" s="48">
        <f t="shared" si="41"/>
        <v>862.52645580348417</v>
      </c>
      <c r="K26" s="48">
        <f t="shared" si="41"/>
        <v>888.40224947758873</v>
      </c>
      <c r="L26" s="48">
        <f t="shared" si="41"/>
        <v>915.05431696191636</v>
      </c>
      <c r="M26" s="48">
        <f t="shared" si="41"/>
        <v>942.50594647077389</v>
      </c>
      <c r="N26" s="48">
        <f t="shared" si="41"/>
        <v>970.78112486489715</v>
      </c>
      <c r="O26" s="48">
        <f t="shared" si="41"/>
        <v>999.90455861084411</v>
      </c>
      <c r="P26" s="48">
        <f t="shared" si="41"/>
        <v>1029.9016953691694</v>
      </c>
      <c r="Q26" s="48">
        <f t="shared" si="41"/>
        <v>1060.7987462302444</v>
      </c>
    </row>
    <row r="27" spans="1:17">
      <c r="A27" s="14" t="s">
        <v>119</v>
      </c>
      <c r="B27" s="14" t="s">
        <v>1396</v>
      </c>
      <c r="C27" s="14" t="s">
        <v>23</v>
      </c>
      <c r="D27" s="14" t="s">
        <v>167</v>
      </c>
      <c r="E27" s="34">
        <f>IFERROR(VLOOKUP(Entidad!$B$12&amp;"-"&amp;'Plan Financiero'!$C27,DAF_BalanceFinancieroVA!$A$2:$H$2926,8,FALSE),0)</f>
        <v>0</v>
      </c>
      <c r="F27" s="48">
        <v>0</v>
      </c>
      <c r="G27" s="48">
        <v>0</v>
      </c>
      <c r="H27" s="48">
        <f>+G27</f>
        <v>0</v>
      </c>
      <c r="I27" s="48">
        <f t="shared" ref="I27:Q27" si="42">+H27</f>
        <v>0</v>
      </c>
      <c r="J27" s="48">
        <f t="shared" si="42"/>
        <v>0</v>
      </c>
      <c r="K27" s="48">
        <f t="shared" si="42"/>
        <v>0</v>
      </c>
      <c r="L27" s="48">
        <f t="shared" si="42"/>
        <v>0</v>
      </c>
      <c r="M27" s="48">
        <f t="shared" si="42"/>
        <v>0</v>
      </c>
      <c r="N27" s="48">
        <f t="shared" si="42"/>
        <v>0</v>
      </c>
      <c r="O27" s="48">
        <f t="shared" si="42"/>
        <v>0</v>
      </c>
      <c r="P27" s="48">
        <f t="shared" si="42"/>
        <v>0</v>
      </c>
      <c r="Q27" s="48">
        <f t="shared" si="42"/>
        <v>0</v>
      </c>
    </row>
    <row r="28" spans="1:17" s="27" customFormat="1">
      <c r="A28" s="14" t="s">
        <v>1392</v>
      </c>
      <c r="B28" s="14" t="s">
        <v>1395</v>
      </c>
      <c r="C28" s="28" t="s">
        <v>168</v>
      </c>
      <c r="D28" s="28" t="s">
        <v>169</v>
      </c>
      <c r="E28" s="29">
        <f>+E29+E30</f>
        <v>856.42499999999995</v>
      </c>
      <c r="F28" s="29">
        <f t="shared" ref="F28" si="43">+F29+F30</f>
        <v>81</v>
      </c>
      <c r="G28" s="29">
        <f>SUM(G29:G30)</f>
        <v>86.161778999999996</v>
      </c>
      <c r="H28" s="29">
        <f>SUM(H29:H30)</f>
        <v>88.74663237</v>
      </c>
      <c r="I28" s="29">
        <f t="shared" ref="I28:P28" si="44">SUM(I29:I30)</f>
        <v>91.409031341100004</v>
      </c>
      <c r="J28" s="29">
        <f t="shared" si="44"/>
        <v>94.151302281333002</v>
      </c>
      <c r="K28" s="29">
        <f t="shared" si="44"/>
        <v>96.975841349772992</v>
      </c>
      <c r="L28" s="29">
        <f t="shared" si="44"/>
        <v>99.885116590266179</v>
      </c>
      <c r="M28" s="29">
        <f t="shared" si="44"/>
        <v>102.88167008797417</v>
      </c>
      <c r="N28" s="29">
        <f t="shared" si="44"/>
        <v>105.9681201906134</v>
      </c>
      <c r="O28" s="29">
        <f t="shared" si="44"/>
        <v>109.14716379633181</v>
      </c>
      <c r="P28" s="29">
        <f t="shared" si="44"/>
        <v>112.42157871022177</v>
      </c>
      <c r="Q28" s="29">
        <f t="shared" ref="Q28" si="45">SUM(Q29:Q30)</f>
        <v>115.79422607152843</v>
      </c>
    </row>
    <row r="29" spans="1:17">
      <c r="A29" s="14" t="s">
        <v>119</v>
      </c>
      <c r="B29" s="14" t="s">
        <v>1396</v>
      </c>
      <c r="C29" s="14" t="s">
        <v>24</v>
      </c>
      <c r="D29" s="14" t="s">
        <v>170</v>
      </c>
      <c r="E29" s="34">
        <f>IFERROR(VLOOKUP(Entidad!$B$12&amp;"-"&amp;'Plan Financiero'!$C29,DAF_BalanceFinancieroVA!$A$2:$H$2926,8,FALSE),0)</f>
        <v>856.42499999999995</v>
      </c>
      <c r="F29" s="48">
        <v>81</v>
      </c>
      <c r="G29" s="48">
        <v>86.161778999999996</v>
      </c>
      <c r="H29" s="48">
        <f>+G29*1.03</f>
        <v>88.74663237</v>
      </c>
      <c r="I29" s="48">
        <f t="shared" ref="I29:Q29" si="46">+H29*1.03</f>
        <v>91.409031341100004</v>
      </c>
      <c r="J29" s="48">
        <f t="shared" si="46"/>
        <v>94.151302281333002</v>
      </c>
      <c r="K29" s="48">
        <f t="shared" si="46"/>
        <v>96.975841349772992</v>
      </c>
      <c r="L29" s="48">
        <f t="shared" si="46"/>
        <v>99.885116590266179</v>
      </c>
      <c r="M29" s="48">
        <f t="shared" si="46"/>
        <v>102.88167008797417</v>
      </c>
      <c r="N29" s="48">
        <f t="shared" si="46"/>
        <v>105.9681201906134</v>
      </c>
      <c r="O29" s="48">
        <f t="shared" si="46"/>
        <v>109.14716379633181</v>
      </c>
      <c r="P29" s="48">
        <f t="shared" si="46"/>
        <v>112.42157871022177</v>
      </c>
      <c r="Q29" s="48">
        <f t="shared" si="46"/>
        <v>115.79422607152843</v>
      </c>
    </row>
    <row r="30" spans="1:17">
      <c r="A30" s="14" t="s">
        <v>119</v>
      </c>
      <c r="B30" s="14" t="s">
        <v>1396</v>
      </c>
      <c r="C30" s="14" t="s">
        <v>25</v>
      </c>
      <c r="D30" s="14" t="s">
        <v>171</v>
      </c>
      <c r="E30" s="34">
        <f>IFERROR(VLOOKUP(Entidad!$B$12&amp;"-"&amp;'Plan Financiero'!$C30,DAF_BalanceFinancieroVA!$A$2:$H$2926,8,FALSE),0)</f>
        <v>0</v>
      </c>
      <c r="F30" s="48">
        <v>0</v>
      </c>
      <c r="G30" s="48">
        <v>0</v>
      </c>
      <c r="H30" s="48">
        <f>+G30</f>
        <v>0</v>
      </c>
      <c r="I30" s="48">
        <f t="shared" ref="I30:Q30" si="47">+H30</f>
        <v>0</v>
      </c>
      <c r="J30" s="48">
        <f t="shared" si="47"/>
        <v>0</v>
      </c>
      <c r="K30" s="48">
        <f t="shared" si="47"/>
        <v>0</v>
      </c>
      <c r="L30" s="48">
        <f t="shared" si="47"/>
        <v>0</v>
      </c>
      <c r="M30" s="48">
        <f t="shared" si="47"/>
        <v>0</v>
      </c>
      <c r="N30" s="48">
        <f t="shared" si="47"/>
        <v>0</v>
      </c>
      <c r="O30" s="48">
        <f t="shared" si="47"/>
        <v>0</v>
      </c>
      <c r="P30" s="48">
        <f t="shared" si="47"/>
        <v>0</v>
      </c>
      <c r="Q30" s="48">
        <f t="shared" si="47"/>
        <v>0</v>
      </c>
    </row>
    <row r="31" spans="1:17">
      <c r="A31" s="14" t="s">
        <v>119</v>
      </c>
      <c r="B31" s="14" t="s">
        <v>1396</v>
      </c>
      <c r="C31" s="14" t="s">
        <v>26</v>
      </c>
      <c r="D31" s="14" t="s">
        <v>172</v>
      </c>
      <c r="E31" s="34">
        <f>IFERROR(VLOOKUP(Entidad!$B$12&amp;"-"&amp;'Plan Financiero'!$C31,DAF_BalanceFinancieroVA!$A$2:$H$2926,8,FALSE),0)</f>
        <v>44.47</v>
      </c>
      <c r="F31" s="48">
        <v>36</v>
      </c>
      <c r="G31" s="48">
        <v>38.409301999999997</v>
      </c>
      <c r="H31" s="48">
        <f>+G31*1.03</f>
        <v>39.561581059999995</v>
      </c>
      <c r="I31" s="48">
        <f t="shared" ref="I31:Q31" si="48">+H31*1.03</f>
        <v>40.748428491799999</v>
      </c>
      <c r="J31" s="48">
        <f t="shared" si="48"/>
        <v>41.970881346554002</v>
      </c>
      <c r="K31" s="48">
        <f t="shared" si="48"/>
        <v>43.230007786950623</v>
      </c>
      <c r="L31" s="48">
        <f t="shared" si="48"/>
        <v>44.526908020559141</v>
      </c>
      <c r="M31" s="48">
        <f t="shared" si="48"/>
        <v>45.862715261175914</v>
      </c>
      <c r="N31" s="48">
        <f t="shared" si="48"/>
        <v>47.238596719011191</v>
      </c>
      <c r="O31" s="48">
        <f t="shared" si="48"/>
        <v>48.655754620581526</v>
      </c>
      <c r="P31" s="48">
        <f t="shared" si="48"/>
        <v>50.115427259198974</v>
      </c>
      <c r="Q31" s="48">
        <f t="shared" si="48"/>
        <v>51.618890076974942</v>
      </c>
    </row>
    <row r="32" spans="1:17">
      <c r="A32" s="14" t="s">
        <v>1392</v>
      </c>
      <c r="B32" s="14" t="s">
        <v>1395</v>
      </c>
      <c r="C32" s="28" t="s">
        <v>27</v>
      </c>
      <c r="D32" s="28" t="s">
        <v>173</v>
      </c>
      <c r="E32" s="29">
        <f t="shared" ref="E32" si="49">E33+E42+E43+E44+E45+E46</f>
        <v>20048.79</v>
      </c>
      <c r="F32" s="29">
        <f t="shared" ref="F32" si="50">F33+F42+F43+F44+F45+F46</f>
        <v>19238</v>
      </c>
      <c r="G32" s="29">
        <f t="shared" ref="G32:P32" si="51">G33+G42+G43+G44+G45+G46</f>
        <v>21018.243459000001</v>
      </c>
      <c r="H32" s="29">
        <f t="shared" si="51"/>
        <v>21648.790762770001</v>
      </c>
      <c r="I32" s="29">
        <f t="shared" si="51"/>
        <v>22298.254485653099</v>
      </c>
      <c r="J32" s="29">
        <f t="shared" si="51"/>
        <v>22967.202120222697</v>
      </c>
      <c r="K32" s="29">
        <f t="shared" si="51"/>
        <v>23656.218183829376</v>
      </c>
      <c r="L32" s="29">
        <f t="shared" si="51"/>
        <v>24365.90472934426</v>
      </c>
      <c r="M32" s="29">
        <f t="shared" si="51"/>
        <v>25096.881871224588</v>
      </c>
      <c r="N32" s="29">
        <f t="shared" si="51"/>
        <v>25849.78832736133</v>
      </c>
      <c r="O32" s="29">
        <f t="shared" si="51"/>
        <v>26625.281977182171</v>
      </c>
      <c r="P32" s="29">
        <f t="shared" si="51"/>
        <v>27424.040436497638</v>
      </c>
      <c r="Q32" s="29">
        <f t="shared" ref="Q32" si="52">Q33+Q42+Q43+Q44+Q45+Q46</f>
        <v>28246.761649592565</v>
      </c>
    </row>
    <row r="33" spans="1:17" s="27" customFormat="1">
      <c r="A33" s="14" t="s">
        <v>1392</v>
      </c>
      <c r="B33" s="14" t="s">
        <v>1395</v>
      </c>
      <c r="C33" s="28" t="s">
        <v>28</v>
      </c>
      <c r="D33" s="28" t="s">
        <v>165</v>
      </c>
      <c r="E33" s="29">
        <f>E34+E40+E41</f>
        <v>19642.572</v>
      </c>
      <c r="F33" s="29">
        <f t="shared" ref="F33" si="53">F34+F40+F41</f>
        <v>17914</v>
      </c>
      <c r="G33" s="29">
        <f t="shared" ref="G33:P33" si="54">G34+G40+G41</f>
        <v>19576.473361</v>
      </c>
      <c r="H33" s="29">
        <f t="shared" si="54"/>
        <v>20163.767561830002</v>
      </c>
      <c r="I33" s="29">
        <f t="shared" si="54"/>
        <v>20768.6805886849</v>
      </c>
      <c r="J33" s="29">
        <f t="shared" si="54"/>
        <v>21391.741006345452</v>
      </c>
      <c r="K33" s="29">
        <f t="shared" si="54"/>
        <v>22033.493236535815</v>
      </c>
      <c r="L33" s="29">
        <f t="shared" si="54"/>
        <v>22694.498033631891</v>
      </c>
      <c r="M33" s="29">
        <f t="shared" si="54"/>
        <v>23375.332974640849</v>
      </c>
      <c r="N33" s="29">
        <f t="shared" si="54"/>
        <v>24076.592963880074</v>
      </c>
      <c r="O33" s="29">
        <f t="shared" si="54"/>
        <v>24798.89075279648</v>
      </c>
      <c r="P33" s="29">
        <f t="shared" si="54"/>
        <v>25542.857475380377</v>
      </c>
      <c r="Q33" s="29">
        <f t="shared" ref="Q33" si="55">Q34+Q40+Q41</f>
        <v>26309.143199641785</v>
      </c>
    </row>
    <row r="34" spans="1:17" s="27" customFormat="1">
      <c r="A34" s="14" t="s">
        <v>1392</v>
      </c>
      <c r="B34" s="14" t="s">
        <v>1395</v>
      </c>
      <c r="C34" s="28" t="s">
        <v>29</v>
      </c>
      <c r="D34" s="28" t="s">
        <v>174</v>
      </c>
      <c r="E34" s="29">
        <f>SUM(E35:E39)</f>
        <v>11213.918</v>
      </c>
      <c r="F34" s="29">
        <f t="shared" ref="F34" si="56">SUM(F35:F39)</f>
        <v>10848</v>
      </c>
      <c r="G34" s="29">
        <f t="shared" ref="G34:P34" si="57">SUM(G35:G39)</f>
        <v>10389.313535000001</v>
      </c>
      <c r="H34" s="29">
        <f t="shared" si="57"/>
        <v>10700.992941050001</v>
      </c>
      <c r="I34" s="29">
        <f t="shared" si="57"/>
        <v>11022.022729281502</v>
      </c>
      <c r="J34" s="29">
        <f t="shared" si="57"/>
        <v>11352.683411159949</v>
      </c>
      <c r="K34" s="29">
        <f t="shared" si="57"/>
        <v>11693.263913494746</v>
      </c>
      <c r="L34" s="29">
        <f t="shared" si="57"/>
        <v>12044.061830899589</v>
      </c>
      <c r="M34" s="29">
        <f t="shared" si="57"/>
        <v>12405.383685826577</v>
      </c>
      <c r="N34" s="29">
        <f t="shared" si="57"/>
        <v>12777.545196401376</v>
      </c>
      <c r="O34" s="29">
        <f t="shared" si="57"/>
        <v>13160.871552293416</v>
      </c>
      <c r="P34" s="29">
        <f t="shared" si="57"/>
        <v>13555.697698862221</v>
      </c>
      <c r="Q34" s="29">
        <f t="shared" ref="Q34" si="58">SUM(Q35:Q39)</f>
        <v>13962.368629828086</v>
      </c>
    </row>
    <row r="35" spans="1:17">
      <c r="A35" s="14" t="s">
        <v>119</v>
      </c>
      <c r="B35" s="14" t="s">
        <v>1396</v>
      </c>
      <c r="C35" s="14" t="s">
        <v>30</v>
      </c>
      <c r="D35" s="14" t="s">
        <v>175</v>
      </c>
      <c r="E35" s="34">
        <f>IFERROR(VLOOKUP(Entidad!$B$12&amp;"-"&amp;'Plan Financiero'!$C35,DAF_BalanceFinancieroVA!$A$2:$H$2926,8,FALSE),0)</f>
        <v>983.66800000000001</v>
      </c>
      <c r="F35" s="48">
        <v>1090</v>
      </c>
      <c r="G35" s="48">
        <v>1062.489004</v>
      </c>
      <c r="H35" s="48">
        <f t="shared" ref="H35:H44" si="59">+G35*1.03</f>
        <v>1094.36367412</v>
      </c>
      <c r="I35" s="48">
        <f t="shared" ref="I35:Q35" si="60">+H35*1.03</f>
        <v>1127.1945843436001</v>
      </c>
      <c r="J35" s="48">
        <f t="shared" si="60"/>
        <v>1161.0104218739082</v>
      </c>
      <c r="K35" s="48">
        <f t="shared" si="60"/>
        <v>1195.8407345301255</v>
      </c>
      <c r="L35" s="48">
        <f t="shared" si="60"/>
        <v>1231.7159565660293</v>
      </c>
      <c r="M35" s="48">
        <f t="shared" si="60"/>
        <v>1268.6674352630102</v>
      </c>
      <c r="N35" s="48">
        <f t="shared" si="60"/>
        <v>1306.7274583209005</v>
      </c>
      <c r="O35" s="48">
        <f t="shared" si="60"/>
        <v>1345.9292820705275</v>
      </c>
      <c r="P35" s="48">
        <f t="shared" si="60"/>
        <v>1386.3071605326434</v>
      </c>
      <c r="Q35" s="48">
        <f t="shared" si="60"/>
        <v>1427.8963753486228</v>
      </c>
    </row>
    <row r="36" spans="1:17">
      <c r="A36" s="14" t="s">
        <v>119</v>
      </c>
      <c r="B36" s="14" t="s">
        <v>1396</v>
      </c>
      <c r="C36" s="14" t="s">
        <v>31</v>
      </c>
      <c r="D36" s="14" t="s">
        <v>176</v>
      </c>
      <c r="E36" s="34">
        <f>IFERROR(VLOOKUP(Entidad!$B$12&amp;"-"&amp;'Plan Financiero'!$C36,DAF_BalanceFinancieroVA!$A$2:$H$2926,8,FALSE),0)</f>
        <v>7371.9139999999998</v>
      </c>
      <c r="F36" s="48">
        <v>7211</v>
      </c>
      <c r="G36" s="48">
        <v>6915.9349950000005</v>
      </c>
      <c r="H36" s="48">
        <f t="shared" si="59"/>
        <v>7123.4130448500009</v>
      </c>
      <c r="I36" s="48">
        <f t="shared" ref="I36:Q36" si="61">+H36*1.03</f>
        <v>7337.1154361955014</v>
      </c>
      <c r="J36" s="48">
        <f t="shared" si="61"/>
        <v>7557.2288992813665</v>
      </c>
      <c r="K36" s="48">
        <f t="shared" si="61"/>
        <v>7783.9457662598079</v>
      </c>
      <c r="L36" s="48">
        <f t="shared" si="61"/>
        <v>8017.4641392476024</v>
      </c>
      <c r="M36" s="48">
        <f t="shared" si="61"/>
        <v>8257.9880634250312</v>
      </c>
      <c r="N36" s="48">
        <f t="shared" si="61"/>
        <v>8505.727705327783</v>
      </c>
      <c r="O36" s="48">
        <f t="shared" si="61"/>
        <v>8760.8995364876173</v>
      </c>
      <c r="P36" s="48">
        <f t="shared" si="61"/>
        <v>9023.7265225822466</v>
      </c>
      <c r="Q36" s="48">
        <f t="shared" si="61"/>
        <v>9294.4383182597139</v>
      </c>
    </row>
    <row r="37" spans="1:17">
      <c r="A37" s="14" t="s">
        <v>119</v>
      </c>
      <c r="B37" s="14" t="s">
        <v>1396</v>
      </c>
      <c r="C37" s="14" t="s">
        <v>32</v>
      </c>
      <c r="D37" s="14" t="s">
        <v>177</v>
      </c>
      <c r="E37" s="34">
        <f>IFERROR(VLOOKUP(Entidad!$B$12&amp;"-"&amp;'Plan Financiero'!$C37,DAF_BalanceFinancieroVA!$A$2:$H$2926,8,FALSE),0)</f>
        <v>1401.4559999999999</v>
      </c>
      <c r="F37" s="48">
        <v>1306</v>
      </c>
      <c r="G37" s="48">
        <v>1216.482209</v>
      </c>
      <c r="H37" s="48">
        <f t="shared" si="59"/>
        <v>1252.97667527</v>
      </c>
      <c r="I37" s="48">
        <f t="shared" ref="I37:Q37" si="62">+H37*1.03</f>
        <v>1290.5659755281001</v>
      </c>
      <c r="J37" s="48">
        <f t="shared" si="62"/>
        <v>1329.2829547939432</v>
      </c>
      <c r="K37" s="48">
        <f t="shared" si="62"/>
        <v>1369.1614434377616</v>
      </c>
      <c r="L37" s="48">
        <f t="shared" si="62"/>
        <v>1410.2362867408945</v>
      </c>
      <c r="M37" s="48">
        <f t="shared" si="62"/>
        <v>1452.5433753431214</v>
      </c>
      <c r="N37" s="48">
        <f t="shared" si="62"/>
        <v>1496.119676603415</v>
      </c>
      <c r="O37" s="48">
        <f t="shared" si="62"/>
        <v>1541.0032669015175</v>
      </c>
      <c r="P37" s="48">
        <f t="shared" si="62"/>
        <v>1587.2333649085631</v>
      </c>
      <c r="Q37" s="48">
        <f t="shared" si="62"/>
        <v>1634.85036585582</v>
      </c>
    </row>
    <row r="38" spans="1:17" s="5" customFormat="1">
      <c r="A38" s="14" t="s">
        <v>119</v>
      </c>
      <c r="B38" s="14" t="s">
        <v>1396</v>
      </c>
      <c r="C38" s="14" t="s">
        <v>33</v>
      </c>
      <c r="D38" s="14" t="s">
        <v>178</v>
      </c>
      <c r="E38" s="34">
        <f>IFERROR(VLOOKUP(Entidad!$B$12&amp;"-"&amp;'Plan Financiero'!$C38,DAF_BalanceFinancieroVA!$A$2:$H$2926,8,FALSE),0)</f>
        <v>1068.652</v>
      </c>
      <c r="F38" s="48">
        <v>1065</v>
      </c>
      <c r="G38" s="48">
        <v>1032.4073269999999</v>
      </c>
      <c r="H38" s="48">
        <f t="shared" si="59"/>
        <v>1063.37954681</v>
      </c>
      <c r="I38" s="48">
        <f t="shared" ref="I38:Q38" si="63">+H38*1.03</f>
        <v>1095.2809332142999</v>
      </c>
      <c r="J38" s="48">
        <f t="shared" si="63"/>
        <v>1128.139361210729</v>
      </c>
      <c r="K38" s="48">
        <f t="shared" si="63"/>
        <v>1161.9835420470508</v>
      </c>
      <c r="L38" s="48">
        <f t="shared" si="63"/>
        <v>1196.8430483084624</v>
      </c>
      <c r="M38" s="48">
        <f t="shared" si="63"/>
        <v>1232.7483397577162</v>
      </c>
      <c r="N38" s="48">
        <f t="shared" si="63"/>
        <v>1269.7307899504476</v>
      </c>
      <c r="O38" s="48">
        <f t="shared" si="63"/>
        <v>1307.8227136489611</v>
      </c>
      <c r="P38" s="48">
        <f t="shared" si="63"/>
        <v>1347.0573950584301</v>
      </c>
      <c r="Q38" s="48">
        <f t="shared" si="63"/>
        <v>1387.4691169101829</v>
      </c>
    </row>
    <row r="39" spans="1:17" s="5" customFormat="1">
      <c r="A39" s="14" t="s">
        <v>119</v>
      </c>
      <c r="B39" s="14" t="s">
        <v>1396</v>
      </c>
      <c r="C39" s="14" t="s">
        <v>34</v>
      </c>
      <c r="D39" s="14" t="s">
        <v>179</v>
      </c>
      <c r="E39" s="34">
        <f>IFERROR(VLOOKUP(Entidad!$B$12&amp;"-"&amp;'Plan Financiero'!$C39,DAF_BalanceFinancieroVA!$A$2:$H$2926,8,FALSE),0)</f>
        <v>388.22800000000001</v>
      </c>
      <c r="F39" s="48">
        <v>176</v>
      </c>
      <c r="G39" s="48">
        <v>162</v>
      </c>
      <c r="H39" s="48">
        <f t="shared" si="59"/>
        <v>166.86</v>
      </c>
      <c r="I39" s="48">
        <f t="shared" ref="I39:Q46" si="64">+H39*1.03</f>
        <v>171.86580000000001</v>
      </c>
      <c r="J39" s="48">
        <f t="shared" si="64"/>
        <v>177.02177400000002</v>
      </c>
      <c r="K39" s="48">
        <f t="shared" si="64"/>
        <v>182.33242722000003</v>
      </c>
      <c r="L39" s="48">
        <f t="shared" si="64"/>
        <v>187.80240003660003</v>
      </c>
      <c r="M39" s="48">
        <f t="shared" si="64"/>
        <v>193.43647203769805</v>
      </c>
      <c r="N39" s="48">
        <f t="shared" si="64"/>
        <v>199.23956619882901</v>
      </c>
      <c r="O39" s="48">
        <f t="shared" si="64"/>
        <v>205.21675318479387</v>
      </c>
      <c r="P39" s="48">
        <f t="shared" si="64"/>
        <v>211.3732557803377</v>
      </c>
      <c r="Q39" s="48">
        <f t="shared" si="64"/>
        <v>217.71445345374784</v>
      </c>
    </row>
    <row r="40" spans="1:17">
      <c r="A40" s="14" t="s">
        <v>119</v>
      </c>
      <c r="B40" s="14" t="s">
        <v>1396</v>
      </c>
      <c r="C40" s="14" t="s">
        <v>35</v>
      </c>
      <c r="D40" s="14" t="s">
        <v>180</v>
      </c>
      <c r="E40" s="34">
        <f>IFERROR(VLOOKUP(Entidad!$B$12&amp;"-"&amp;'Plan Financiero'!$C40,DAF_BalanceFinancieroVA!$A$2:$H$2926,8,FALSE),0)</f>
        <v>7648.1869999999999</v>
      </c>
      <c r="F40" s="48">
        <v>6746</v>
      </c>
      <c r="G40" s="48">
        <v>8870</v>
      </c>
      <c r="H40" s="48">
        <f t="shared" si="59"/>
        <v>9136.1</v>
      </c>
      <c r="I40" s="48">
        <f t="shared" si="64"/>
        <v>9410.1830000000009</v>
      </c>
      <c r="J40" s="48">
        <f t="shared" si="64"/>
        <v>9692.4884900000015</v>
      </c>
      <c r="K40" s="48">
        <f t="shared" si="64"/>
        <v>9983.2631447000022</v>
      </c>
      <c r="L40" s="48">
        <f t="shared" si="64"/>
        <v>10282.761039041003</v>
      </c>
      <c r="M40" s="48">
        <f t="shared" si="64"/>
        <v>10591.243870212233</v>
      </c>
      <c r="N40" s="48">
        <f t="shared" si="64"/>
        <v>10908.981186318601</v>
      </c>
      <c r="O40" s="48">
        <f t="shared" si="64"/>
        <v>11236.250621908159</v>
      </c>
      <c r="P40" s="48">
        <f t="shared" si="64"/>
        <v>11573.338140565404</v>
      </c>
      <c r="Q40" s="48">
        <f t="shared" si="64"/>
        <v>11920.538284782366</v>
      </c>
    </row>
    <row r="41" spans="1:17">
      <c r="A41" s="14" t="s">
        <v>119</v>
      </c>
      <c r="B41" s="14" t="s">
        <v>1396</v>
      </c>
      <c r="C41" s="14" t="s">
        <v>181</v>
      </c>
      <c r="D41" s="14" t="s">
        <v>167</v>
      </c>
      <c r="E41" s="34">
        <f>IFERROR(VLOOKUP(Entidad!$B$12&amp;"-"&amp;'Plan Financiero'!$C41,DAF_BalanceFinancieroVA!$A$2:$H$2926,8,FALSE),0)</f>
        <v>780.46699999999998</v>
      </c>
      <c r="F41" s="48">
        <v>320</v>
      </c>
      <c r="G41" s="48">
        <v>317.15982600000001</v>
      </c>
      <c r="H41" s="48">
        <f t="shared" si="59"/>
        <v>326.67462078</v>
      </c>
      <c r="I41" s="48">
        <f t="shared" si="64"/>
        <v>336.47485940339999</v>
      </c>
      <c r="J41" s="48">
        <f t="shared" si="64"/>
        <v>346.569105185502</v>
      </c>
      <c r="K41" s="48">
        <f t="shared" si="64"/>
        <v>356.96617834106706</v>
      </c>
      <c r="L41" s="48">
        <f t="shared" si="64"/>
        <v>367.67516369129908</v>
      </c>
      <c r="M41" s="48">
        <f t="shared" si="64"/>
        <v>378.70541860203804</v>
      </c>
      <c r="N41" s="48">
        <f t="shared" si="64"/>
        <v>390.06658116009919</v>
      </c>
      <c r="O41" s="48">
        <f t="shared" si="64"/>
        <v>401.76857859490218</v>
      </c>
      <c r="P41" s="48">
        <f t="shared" si="64"/>
        <v>413.82163595274926</v>
      </c>
      <c r="Q41" s="48">
        <f t="shared" si="64"/>
        <v>426.23628503133176</v>
      </c>
    </row>
    <row r="42" spans="1:17">
      <c r="A42" s="14" t="s">
        <v>119</v>
      </c>
      <c r="B42" s="14" t="s">
        <v>1396</v>
      </c>
      <c r="C42" s="14" t="s">
        <v>36</v>
      </c>
      <c r="D42" s="14" t="s">
        <v>169</v>
      </c>
      <c r="E42" s="34">
        <f>IFERROR(VLOOKUP(Entidad!$B$12&amp;"-"&amp;'Plan Financiero'!$C42,DAF_BalanceFinancieroVA!$A$2:$H$2926,8,FALSE),0)</f>
        <v>271.61099999999999</v>
      </c>
      <c r="F42" s="48">
        <v>1036</v>
      </c>
      <c r="G42" s="48">
        <v>1086.2486269999999</v>
      </c>
      <c r="H42" s="49">
        <f t="shared" si="59"/>
        <v>1118.83608581</v>
      </c>
      <c r="I42" s="49">
        <f t="shared" si="64"/>
        <v>1152.4011683843</v>
      </c>
      <c r="J42" s="49">
        <f t="shared" si="64"/>
        <v>1186.973203435829</v>
      </c>
      <c r="K42" s="49">
        <f t="shared" si="64"/>
        <v>1222.5823995389039</v>
      </c>
      <c r="L42" s="49">
        <f t="shared" si="64"/>
        <v>1259.259871525071</v>
      </c>
      <c r="M42" s="49">
        <f t="shared" si="64"/>
        <v>1297.0376676708231</v>
      </c>
      <c r="N42" s="49">
        <f t="shared" si="64"/>
        <v>1335.9487977009478</v>
      </c>
      <c r="O42" s="49">
        <f t="shared" si="64"/>
        <v>1376.0272616319762</v>
      </c>
      <c r="P42" s="49">
        <f t="shared" si="64"/>
        <v>1417.3080794809355</v>
      </c>
      <c r="Q42" s="49">
        <f t="shared" si="64"/>
        <v>1459.8273218653635</v>
      </c>
    </row>
    <row r="43" spans="1:17">
      <c r="A43" s="14" t="s">
        <v>119</v>
      </c>
      <c r="B43" s="14" t="s">
        <v>1396</v>
      </c>
      <c r="C43" s="14" t="s">
        <v>37</v>
      </c>
      <c r="D43" s="14" t="s">
        <v>182</v>
      </c>
      <c r="E43" s="34">
        <f>IFERROR(VLOOKUP(Entidad!$B$12&amp;"-"&amp;'Plan Financiero'!$C43,DAF_BalanceFinancieroVA!$A$2:$H$2926,8,FALSE),0)</f>
        <v>1.5</v>
      </c>
      <c r="F43" s="48">
        <v>143</v>
      </c>
      <c r="G43" s="48">
        <v>151.28169800000001</v>
      </c>
      <c r="H43" s="49">
        <f t="shared" si="59"/>
        <v>155.82014894000002</v>
      </c>
      <c r="I43" s="49">
        <f t="shared" si="64"/>
        <v>160.49475340820004</v>
      </c>
      <c r="J43" s="49">
        <f t="shared" si="64"/>
        <v>165.30959601044606</v>
      </c>
      <c r="K43" s="49">
        <f t="shared" si="64"/>
        <v>170.26888389075944</v>
      </c>
      <c r="L43" s="49">
        <f t="shared" si="64"/>
        <v>175.37695040748224</v>
      </c>
      <c r="M43" s="49">
        <f t="shared" si="64"/>
        <v>180.63825891970671</v>
      </c>
      <c r="N43" s="49">
        <f t="shared" si="64"/>
        <v>186.05740668729791</v>
      </c>
      <c r="O43" s="49">
        <f t="shared" si="64"/>
        <v>191.63912888791685</v>
      </c>
      <c r="P43" s="49">
        <f t="shared" si="64"/>
        <v>197.38830275455436</v>
      </c>
      <c r="Q43" s="49">
        <f t="shared" si="64"/>
        <v>203.30995183719099</v>
      </c>
    </row>
    <row r="44" spans="1:17">
      <c r="A44" s="14" t="s">
        <v>119</v>
      </c>
      <c r="B44" s="14" t="s">
        <v>1396</v>
      </c>
      <c r="C44" s="14" t="s">
        <v>143</v>
      </c>
      <c r="D44" s="14" t="s">
        <v>183</v>
      </c>
      <c r="E44" s="34">
        <f>IFERROR(VLOOKUP(Entidad!$B$12&amp;"-"&amp;'Plan Financiero'!$C44,DAF_BalanceFinancieroVA!$A$2:$H$2926,8,FALSE),0)</f>
        <v>133.107</v>
      </c>
      <c r="F44" s="48">
        <v>145</v>
      </c>
      <c r="G44" s="48">
        <v>153.23977300000001</v>
      </c>
      <c r="H44" s="49">
        <f t="shared" si="59"/>
        <v>157.83696619000003</v>
      </c>
      <c r="I44" s="49">
        <f t="shared" si="64"/>
        <v>162.57207517570004</v>
      </c>
      <c r="J44" s="49">
        <f t="shared" si="64"/>
        <v>167.44923743097104</v>
      </c>
      <c r="K44" s="49">
        <f t="shared" si="64"/>
        <v>172.47271455390018</v>
      </c>
      <c r="L44" s="49">
        <f t="shared" si="64"/>
        <v>177.64689599051718</v>
      </c>
      <c r="M44" s="49">
        <f t="shared" si="64"/>
        <v>182.9763028702327</v>
      </c>
      <c r="N44" s="49">
        <f t="shared" si="64"/>
        <v>188.46559195633969</v>
      </c>
      <c r="O44" s="49">
        <f t="shared" si="64"/>
        <v>194.11955971502988</v>
      </c>
      <c r="P44" s="49">
        <f t="shared" si="64"/>
        <v>199.94314650648079</v>
      </c>
      <c r="Q44" s="49">
        <f t="shared" si="64"/>
        <v>205.94144090167521</v>
      </c>
    </row>
    <row r="45" spans="1:17">
      <c r="A45" s="14" t="s">
        <v>119</v>
      </c>
      <c r="B45" s="14" t="s">
        <v>1396</v>
      </c>
      <c r="C45" s="14" t="s">
        <v>184</v>
      </c>
      <c r="D45" s="14" t="s">
        <v>185</v>
      </c>
      <c r="E45" s="34">
        <f>IFERROR(VLOOKUP(Entidad!$B$12&amp;"-"&amp;'Plan Financiero'!$C45,DAF_BalanceFinancieroVA!$A$2:$H$2926,8,FALSE),0)</f>
        <v>0</v>
      </c>
      <c r="F45" s="48">
        <v>0</v>
      </c>
      <c r="G45" s="48">
        <v>0</v>
      </c>
      <c r="H45" s="49">
        <f>+G45</f>
        <v>0</v>
      </c>
      <c r="I45" s="49">
        <f t="shared" si="64"/>
        <v>0</v>
      </c>
      <c r="J45" s="49">
        <f t="shared" si="64"/>
        <v>0</v>
      </c>
      <c r="K45" s="49">
        <f t="shared" si="64"/>
        <v>0</v>
      </c>
      <c r="L45" s="49">
        <f t="shared" si="64"/>
        <v>0</v>
      </c>
      <c r="M45" s="49">
        <f t="shared" si="64"/>
        <v>0</v>
      </c>
      <c r="N45" s="49">
        <f t="shared" si="64"/>
        <v>0</v>
      </c>
      <c r="O45" s="49">
        <f t="shared" si="64"/>
        <v>0</v>
      </c>
      <c r="P45" s="49">
        <f t="shared" si="64"/>
        <v>0</v>
      </c>
      <c r="Q45" s="49">
        <f t="shared" si="64"/>
        <v>0</v>
      </c>
    </row>
    <row r="46" spans="1:17">
      <c r="A46" s="14" t="s">
        <v>119</v>
      </c>
      <c r="B46" s="14" t="s">
        <v>1396</v>
      </c>
      <c r="C46" s="14" t="s">
        <v>186</v>
      </c>
      <c r="D46" s="14" t="s">
        <v>187</v>
      </c>
      <c r="E46" s="34">
        <f>IFERROR(VLOOKUP(Entidad!$B$12&amp;"-"&amp;'Plan Financiero'!$C46,DAF_BalanceFinancieroVA!$A$2:$H$2926,8,FALSE),0)</f>
        <v>0</v>
      </c>
      <c r="F46" s="48">
        <v>0</v>
      </c>
      <c r="G46" s="48">
        <f>18+33</f>
        <v>51</v>
      </c>
      <c r="H46" s="49">
        <f>+G46*1.03</f>
        <v>52.53</v>
      </c>
      <c r="I46" s="49">
        <f t="shared" si="64"/>
        <v>54.105900000000005</v>
      </c>
      <c r="J46" s="49">
        <f t="shared" si="64"/>
        <v>55.729077000000004</v>
      </c>
      <c r="K46" s="49">
        <f t="shared" si="64"/>
        <v>57.400949310000009</v>
      </c>
      <c r="L46" s="49">
        <f t="shared" si="64"/>
        <v>59.122977789300009</v>
      </c>
      <c r="M46" s="49">
        <f t="shared" si="64"/>
        <v>60.896667122979011</v>
      </c>
      <c r="N46" s="49">
        <f t="shared" si="64"/>
        <v>62.723567136668386</v>
      </c>
      <c r="O46" s="49">
        <f t="shared" si="64"/>
        <v>64.605274150768437</v>
      </c>
      <c r="P46" s="49">
        <f t="shared" si="64"/>
        <v>66.543432375291488</v>
      </c>
      <c r="Q46" s="49">
        <f t="shared" si="64"/>
        <v>68.539735346550231</v>
      </c>
    </row>
    <row r="47" spans="1:17">
      <c r="A47" s="14" t="s">
        <v>1392</v>
      </c>
      <c r="B47" s="14" t="s">
        <v>1395</v>
      </c>
      <c r="C47" s="11" t="s">
        <v>38</v>
      </c>
      <c r="D47" s="11" t="s">
        <v>39</v>
      </c>
      <c r="E47" s="13">
        <f t="shared" ref="E47" si="65">E48+E87</f>
        <v>30293.887999999999</v>
      </c>
      <c r="F47" s="13">
        <f t="shared" ref="F47" si="66">F48+F87</f>
        <v>27342</v>
      </c>
      <c r="G47" s="13">
        <f t="shared" ref="G47:P47" si="67">G48+G87</f>
        <v>29385.929143206646</v>
      </c>
      <c r="H47" s="13">
        <f t="shared" si="67"/>
        <v>27545.782533207399</v>
      </c>
      <c r="I47" s="13">
        <f t="shared" si="67"/>
        <v>28162.944495122574</v>
      </c>
      <c r="J47" s="13">
        <f t="shared" si="67"/>
        <v>29059.115685613586</v>
      </c>
      <c r="K47" s="13">
        <f t="shared" si="67"/>
        <v>30017.041868932065</v>
      </c>
      <c r="L47" s="13">
        <f t="shared" si="67"/>
        <v>31484.491092005097</v>
      </c>
      <c r="M47" s="13">
        <f t="shared" si="67"/>
        <v>32445.254351110438</v>
      </c>
      <c r="N47" s="13">
        <f t="shared" si="67"/>
        <v>33527.146278515822</v>
      </c>
      <c r="O47" s="13">
        <f t="shared" si="67"/>
        <v>34855.005849680827</v>
      </c>
      <c r="P47" s="13">
        <f t="shared" si="67"/>
        <v>35887.69711163696</v>
      </c>
      <c r="Q47" s="13">
        <f t="shared" ref="Q47" si="68">Q48+Q87</f>
        <v>36951.109933181098</v>
      </c>
    </row>
    <row r="48" spans="1:17">
      <c r="A48" s="14" t="s">
        <v>1392</v>
      </c>
      <c r="B48" s="14" t="s">
        <v>1395</v>
      </c>
      <c r="C48" s="11" t="s">
        <v>40</v>
      </c>
      <c r="D48" s="11" t="s">
        <v>188</v>
      </c>
      <c r="E48" s="13">
        <f t="shared" ref="E48" si="69">E49+E63+E64+E65+E71</f>
        <v>23442.892</v>
      </c>
      <c r="F48" s="13">
        <f t="shared" ref="F48" si="70">F49+F63+F64+F65+F71</f>
        <v>21768</v>
      </c>
      <c r="G48" s="13">
        <f t="shared" ref="G48:P48" si="71">G49+G63+G64+G65+G71</f>
        <v>23279.929143206646</v>
      </c>
      <c r="H48" s="13">
        <f t="shared" si="71"/>
        <v>23853.609080220245</v>
      </c>
      <c r="I48" s="13">
        <f t="shared" si="71"/>
        <v>24260.385656598603</v>
      </c>
      <c r="J48" s="13">
        <f t="shared" si="71"/>
        <v>24672.477096347742</v>
      </c>
      <c r="K48" s="13">
        <f t="shared" si="71"/>
        <v>25096.10647669038</v>
      </c>
      <c r="L48" s="13">
        <f t="shared" si="71"/>
        <v>25553.501839792345</v>
      </c>
      <c r="M48" s="13">
        <f t="shared" si="71"/>
        <v>26048.896307163392</v>
      </c>
      <c r="N48" s="13">
        <f t="shared" si="71"/>
        <v>26555.52819679911</v>
      </c>
      <c r="O48" s="13">
        <f t="shared" si="71"/>
        <v>27095.641143132325</v>
      </c>
      <c r="P48" s="13">
        <f t="shared" si="71"/>
        <v>27660.48421986412</v>
      </c>
      <c r="Q48" s="13">
        <f t="shared" ref="Q48" si="72">Q49+Q63+Q64+Q65+Q71</f>
        <v>28237.312065746621</v>
      </c>
    </row>
    <row r="49" spans="1:17">
      <c r="A49" s="14" t="s">
        <v>1392</v>
      </c>
      <c r="B49" s="14" t="s">
        <v>1395</v>
      </c>
      <c r="C49" s="11" t="s">
        <v>41</v>
      </c>
      <c r="D49" s="11" t="s">
        <v>189</v>
      </c>
      <c r="E49" s="13">
        <f>E50+E51+E52+E60+E61+E62</f>
        <v>3894.7159999999999</v>
      </c>
      <c r="F49" s="13">
        <f t="shared" ref="F49" si="73">F50+F51+F52+F60+F61+F62</f>
        <v>4031</v>
      </c>
      <c r="G49" s="13">
        <f>SUM(G50:G52)+SUM(G60:G62)</f>
        <v>3909.4480262066445</v>
      </c>
      <c r="H49" s="13">
        <f>SUM(H50:H52)+SUM(H60:H62)</f>
        <v>4005.7383408802448</v>
      </c>
      <c r="I49" s="13">
        <f t="shared" ref="I49:P49" si="74">SUM(I50:I52)+SUM(I60:I62)</f>
        <v>4104.4975024717996</v>
      </c>
      <c r="J49" s="13">
        <f t="shared" si="74"/>
        <v>4205.7911791384049</v>
      </c>
      <c r="K49" s="13">
        <f t="shared" si="74"/>
        <v>4309.6868411368578</v>
      </c>
      <c r="L49" s="13">
        <f t="shared" si="74"/>
        <v>4416.2538115277493</v>
      </c>
      <c r="M49" s="13">
        <f t="shared" si="74"/>
        <v>4525.563318333503</v>
      </c>
      <c r="N49" s="13">
        <f t="shared" si="74"/>
        <v>4637.6885481926283</v>
      </c>
      <c r="O49" s="13">
        <f t="shared" si="74"/>
        <v>4752.70470155371</v>
      </c>
      <c r="P49" s="13">
        <f t="shared" si="74"/>
        <v>4870.6890494539302</v>
      </c>
      <c r="Q49" s="13">
        <f t="shared" ref="Q49" si="75">SUM(Q50:Q52)+SUM(Q60:Q62)</f>
        <v>4991.7209919282295</v>
      </c>
    </row>
    <row r="50" spans="1:17">
      <c r="A50" s="14" t="s">
        <v>119</v>
      </c>
      <c r="B50" s="14" t="s">
        <v>122</v>
      </c>
      <c r="C50" s="14" t="s">
        <v>42</v>
      </c>
      <c r="D50" s="15" t="s">
        <v>190</v>
      </c>
      <c r="E50" s="34">
        <f>IFERROR(VLOOKUP(Entidad!$B$12&amp;"-"&amp;'Plan Financiero'!$C50,DAF_BalanceFinancieroVA!$A$2:$H$2926,8,FALSE),0)</f>
        <v>1760.221</v>
      </c>
      <c r="F50" s="48">
        <f>1699-20</f>
        <v>1679</v>
      </c>
      <c r="G50" s="48">
        <v>1810.1354149466449</v>
      </c>
      <c r="H50" s="48">
        <f>+G50*1.03</f>
        <v>1864.4394773950444</v>
      </c>
      <c r="I50" s="48">
        <f t="shared" ref="I50:Q50" si="76">+H50*1.03</f>
        <v>1920.3726617168957</v>
      </c>
      <c r="J50" s="48">
        <f t="shared" si="76"/>
        <v>1977.9838415684026</v>
      </c>
      <c r="K50" s="48">
        <f t="shared" si="76"/>
        <v>2037.3233568154546</v>
      </c>
      <c r="L50" s="48">
        <f t="shared" si="76"/>
        <v>2098.4430575199185</v>
      </c>
      <c r="M50" s="48">
        <f t="shared" si="76"/>
        <v>2161.3963492455159</v>
      </c>
      <c r="N50" s="48">
        <f t="shared" si="76"/>
        <v>2226.2382397228816</v>
      </c>
      <c r="O50" s="48">
        <f t="shared" si="76"/>
        <v>2293.0253869145681</v>
      </c>
      <c r="P50" s="48">
        <f t="shared" si="76"/>
        <v>2361.8161485220053</v>
      </c>
      <c r="Q50" s="48">
        <f t="shared" si="76"/>
        <v>2432.6706329776657</v>
      </c>
    </row>
    <row r="51" spans="1:17">
      <c r="A51" s="14" t="s">
        <v>119</v>
      </c>
      <c r="B51" s="14" t="s">
        <v>122</v>
      </c>
      <c r="C51" s="14" t="s">
        <v>43</v>
      </c>
      <c r="D51" s="15" t="s">
        <v>191</v>
      </c>
      <c r="E51" s="34">
        <f>IFERROR(VLOOKUP(Entidad!$B$12&amp;"-"&amp;'Plan Financiero'!$C51,DAF_BalanceFinancieroVA!$A$2:$H$2926,8,FALSE),0)</f>
        <v>1014.47</v>
      </c>
      <c r="F51" s="48">
        <f>1049-60</f>
        <v>989</v>
      </c>
      <c r="G51" s="48">
        <v>1073.03079226</v>
      </c>
      <c r="H51" s="48">
        <f>+G51*1.02</f>
        <v>1094.4914081052</v>
      </c>
      <c r="I51" s="48">
        <f>+H51*1.02</f>
        <v>1116.3812362673041</v>
      </c>
      <c r="J51" s="48">
        <f>+I51*1.02</f>
        <v>1138.7088609926502</v>
      </c>
      <c r="K51" s="48">
        <f t="shared" ref="K51:Q51" si="77">+J51*1.02</f>
        <v>1161.4830382125033</v>
      </c>
      <c r="L51" s="48">
        <f t="shared" si="77"/>
        <v>1184.7126989767535</v>
      </c>
      <c r="M51" s="48">
        <f t="shared" si="77"/>
        <v>1208.4069529562885</v>
      </c>
      <c r="N51" s="48">
        <f t="shared" si="77"/>
        <v>1232.5750920154142</v>
      </c>
      <c r="O51" s="48">
        <f t="shared" si="77"/>
        <v>1257.2265938557225</v>
      </c>
      <c r="P51" s="48">
        <f t="shared" si="77"/>
        <v>1282.3711257328371</v>
      </c>
      <c r="Q51" s="48">
        <f t="shared" si="77"/>
        <v>1308.0185482474938</v>
      </c>
    </row>
    <row r="52" spans="1:17">
      <c r="A52" s="14" t="s">
        <v>1392</v>
      </c>
      <c r="B52" s="14" t="s">
        <v>1395</v>
      </c>
      <c r="C52" s="28" t="s">
        <v>44</v>
      </c>
      <c r="D52" s="30" t="s">
        <v>192</v>
      </c>
      <c r="E52" s="29">
        <f>SUM(E53:E59)</f>
        <v>1120.0250000000001</v>
      </c>
      <c r="F52" s="29">
        <f t="shared" ref="F52" si="78">SUM(F53:F59)</f>
        <v>1363</v>
      </c>
      <c r="G52" s="29">
        <f t="shared" ref="G52:P52" si="79">SUM(G53:G59)</f>
        <v>1026.281819</v>
      </c>
      <c r="H52" s="29">
        <f t="shared" si="79"/>
        <v>1046.8074553800002</v>
      </c>
      <c r="I52" s="29">
        <f t="shared" si="79"/>
        <v>1067.7436044876001</v>
      </c>
      <c r="J52" s="29">
        <f t="shared" si="79"/>
        <v>1089.0984765773521</v>
      </c>
      <c r="K52" s="29">
        <f t="shared" si="79"/>
        <v>1110.8804461088994</v>
      </c>
      <c r="L52" s="29">
        <f t="shared" si="79"/>
        <v>1133.0980550310771</v>
      </c>
      <c r="M52" s="29">
        <f t="shared" si="79"/>
        <v>1155.7600161316989</v>
      </c>
      <c r="N52" s="29">
        <f t="shared" si="79"/>
        <v>1178.8752164543328</v>
      </c>
      <c r="O52" s="29">
        <f t="shared" si="79"/>
        <v>1202.4527207834194</v>
      </c>
      <c r="P52" s="29">
        <f t="shared" si="79"/>
        <v>1226.5017751990881</v>
      </c>
      <c r="Q52" s="29">
        <f t="shared" ref="Q52" si="80">SUM(Q53:Q59)</f>
        <v>1251.0318107030698</v>
      </c>
    </row>
    <row r="53" spans="1:17">
      <c r="A53" s="14" t="s">
        <v>119</v>
      </c>
      <c r="B53" s="14" t="s">
        <v>122</v>
      </c>
      <c r="C53" s="14" t="s">
        <v>45</v>
      </c>
      <c r="D53" s="14" t="s">
        <v>193</v>
      </c>
      <c r="E53" s="34">
        <f>IFERROR(VLOOKUP(Entidad!$B$12&amp;"-"&amp;'Plan Financiero'!$C53,DAF_BalanceFinancieroVA!$A$2:$H$2926,8,FALSE),0)</f>
        <v>276.82600000000002</v>
      </c>
      <c r="F53" s="48">
        <f>389-50</f>
        <v>339</v>
      </c>
      <c r="G53" s="48">
        <v>344</v>
      </c>
      <c r="H53" s="48">
        <f>+G53*1.02</f>
        <v>350.88</v>
      </c>
      <c r="I53" s="48">
        <f t="shared" ref="I53:Q53" si="81">+H53*1.02</f>
        <v>357.89760000000001</v>
      </c>
      <c r="J53" s="48">
        <f t="shared" si="81"/>
        <v>365.05555200000003</v>
      </c>
      <c r="K53" s="48">
        <f t="shared" si="81"/>
        <v>372.35666304000006</v>
      </c>
      <c r="L53" s="48">
        <f t="shared" si="81"/>
        <v>379.80379630080006</v>
      </c>
      <c r="M53" s="48">
        <f t="shared" si="81"/>
        <v>387.39987222681606</v>
      </c>
      <c r="N53" s="48">
        <f t="shared" si="81"/>
        <v>395.1478696713524</v>
      </c>
      <c r="O53" s="48">
        <f t="shared" si="81"/>
        <v>403.05082706477947</v>
      </c>
      <c r="P53" s="48">
        <f t="shared" si="81"/>
        <v>411.11184360607507</v>
      </c>
      <c r="Q53" s="48">
        <f t="shared" si="81"/>
        <v>419.3340804781966</v>
      </c>
    </row>
    <row r="54" spans="1:17">
      <c r="A54" s="14" t="s">
        <v>119</v>
      </c>
      <c r="B54" s="14" t="s">
        <v>122</v>
      </c>
      <c r="C54" s="14" t="s">
        <v>46</v>
      </c>
      <c r="D54" s="14" t="s">
        <v>194</v>
      </c>
      <c r="E54" s="34">
        <f>IFERROR(VLOOKUP(Entidad!$B$12&amp;"-"&amp;'Plan Financiero'!$C54,DAF_BalanceFinancieroVA!$A$2:$H$2926,8,FALSE),0)</f>
        <v>173.779</v>
      </c>
      <c r="F54" s="48">
        <v>3</v>
      </c>
      <c r="G54" s="48">
        <v>0</v>
      </c>
      <c r="H54" s="48">
        <f t="shared" ref="H54:Q63" si="82">+G54*1.02</f>
        <v>0</v>
      </c>
      <c r="I54" s="48">
        <f t="shared" si="82"/>
        <v>0</v>
      </c>
      <c r="J54" s="48">
        <f t="shared" si="82"/>
        <v>0</v>
      </c>
      <c r="K54" s="48">
        <f t="shared" si="82"/>
        <v>0</v>
      </c>
      <c r="L54" s="48">
        <f t="shared" si="82"/>
        <v>0</v>
      </c>
      <c r="M54" s="48">
        <f t="shared" si="82"/>
        <v>0</v>
      </c>
      <c r="N54" s="48">
        <f t="shared" si="82"/>
        <v>0</v>
      </c>
      <c r="O54" s="48">
        <f t="shared" si="82"/>
        <v>0</v>
      </c>
      <c r="P54" s="48">
        <f t="shared" si="82"/>
        <v>0</v>
      </c>
      <c r="Q54" s="48">
        <f t="shared" si="82"/>
        <v>0</v>
      </c>
    </row>
    <row r="55" spans="1:17">
      <c r="A55" s="14" t="s">
        <v>119</v>
      </c>
      <c r="B55" s="14" t="s">
        <v>122</v>
      </c>
      <c r="C55" s="14" t="s">
        <v>47</v>
      </c>
      <c r="D55" s="14" t="s">
        <v>195</v>
      </c>
      <c r="E55" s="34">
        <f>IFERROR(VLOOKUP(Entidad!$B$12&amp;"-"&amp;'Plan Financiero'!$C55,DAF_BalanceFinancieroVA!$A$2:$H$2926,8,FALSE),0)</f>
        <v>0</v>
      </c>
      <c r="F55" s="48">
        <v>0</v>
      </c>
      <c r="G55" s="48">
        <v>0</v>
      </c>
      <c r="H55" s="48">
        <f t="shared" si="82"/>
        <v>0</v>
      </c>
      <c r="I55" s="48">
        <f t="shared" si="82"/>
        <v>0</v>
      </c>
      <c r="J55" s="48">
        <f t="shared" si="82"/>
        <v>0</v>
      </c>
      <c r="K55" s="48">
        <f t="shared" si="82"/>
        <v>0</v>
      </c>
      <c r="L55" s="48">
        <f t="shared" si="82"/>
        <v>0</v>
      </c>
      <c r="M55" s="48">
        <f t="shared" si="82"/>
        <v>0</v>
      </c>
      <c r="N55" s="48">
        <f t="shared" si="82"/>
        <v>0</v>
      </c>
      <c r="O55" s="48">
        <f t="shared" si="82"/>
        <v>0</v>
      </c>
      <c r="P55" s="48">
        <f t="shared" si="82"/>
        <v>0</v>
      </c>
      <c r="Q55" s="48">
        <f t="shared" si="82"/>
        <v>0</v>
      </c>
    </row>
    <row r="56" spans="1:17">
      <c r="A56" s="14" t="s">
        <v>119</v>
      </c>
      <c r="B56" s="14" t="s">
        <v>122</v>
      </c>
      <c r="C56" s="14" t="s">
        <v>48</v>
      </c>
      <c r="D56" s="14" t="s">
        <v>196</v>
      </c>
      <c r="E56" s="34">
        <f>IFERROR(VLOOKUP(Entidad!$B$12&amp;"-"&amp;'Plan Financiero'!$C56,DAF_BalanceFinancieroVA!$A$2:$H$2926,8,FALSE),0)</f>
        <v>354.05</v>
      </c>
      <c r="F56" s="48">
        <v>787</v>
      </c>
      <c r="G56" s="48">
        <v>349</v>
      </c>
      <c r="H56" s="48">
        <f t="shared" si="82"/>
        <v>355.98</v>
      </c>
      <c r="I56" s="48">
        <f t="shared" si="82"/>
        <v>363.09960000000001</v>
      </c>
      <c r="J56" s="48">
        <f t="shared" si="82"/>
        <v>370.36159200000003</v>
      </c>
      <c r="K56" s="48">
        <f t="shared" si="82"/>
        <v>377.76882384000004</v>
      </c>
      <c r="L56" s="48">
        <f t="shared" si="82"/>
        <v>385.32420031680005</v>
      </c>
      <c r="M56" s="48">
        <f t="shared" si="82"/>
        <v>393.03068432313603</v>
      </c>
      <c r="N56" s="48">
        <f t="shared" si="82"/>
        <v>400.89129800959876</v>
      </c>
      <c r="O56" s="48">
        <f t="shared" si="82"/>
        <v>408.90912396979076</v>
      </c>
      <c r="P56" s="48">
        <f t="shared" si="82"/>
        <v>417.0873064491866</v>
      </c>
      <c r="Q56" s="48">
        <f t="shared" si="82"/>
        <v>425.42905257817034</v>
      </c>
    </row>
    <row r="57" spans="1:17">
      <c r="A57" s="14" t="s">
        <v>119</v>
      </c>
      <c r="B57" s="14" t="s">
        <v>122</v>
      </c>
      <c r="C57" s="14" t="s">
        <v>49</v>
      </c>
      <c r="D57" s="14" t="s">
        <v>197</v>
      </c>
      <c r="E57" s="34">
        <f>IFERROR(VLOOKUP(Entidad!$B$12&amp;"-"&amp;'Plan Financiero'!$C57,DAF_BalanceFinancieroVA!$A$2:$H$2926,8,FALSE),0)</f>
        <v>0</v>
      </c>
      <c r="F57" s="48">
        <v>0</v>
      </c>
      <c r="G57" s="48">
        <v>0</v>
      </c>
      <c r="H57" s="48">
        <f t="shared" si="82"/>
        <v>0</v>
      </c>
      <c r="I57" s="48">
        <f t="shared" si="82"/>
        <v>0</v>
      </c>
      <c r="J57" s="48">
        <f t="shared" si="82"/>
        <v>0</v>
      </c>
      <c r="K57" s="48">
        <f t="shared" si="82"/>
        <v>0</v>
      </c>
      <c r="L57" s="48">
        <f t="shared" si="82"/>
        <v>0</v>
      </c>
      <c r="M57" s="48">
        <f t="shared" si="82"/>
        <v>0</v>
      </c>
      <c r="N57" s="48">
        <f t="shared" si="82"/>
        <v>0</v>
      </c>
      <c r="O57" s="48">
        <f t="shared" si="82"/>
        <v>0</v>
      </c>
      <c r="P57" s="48">
        <f t="shared" si="82"/>
        <v>0</v>
      </c>
      <c r="Q57" s="48">
        <f t="shared" si="82"/>
        <v>0</v>
      </c>
    </row>
    <row r="58" spans="1:17">
      <c r="A58" s="14" t="s">
        <v>119</v>
      </c>
      <c r="B58" s="14" t="s">
        <v>122</v>
      </c>
      <c r="C58" s="14" t="s">
        <v>50</v>
      </c>
      <c r="D58" s="14" t="s">
        <v>198</v>
      </c>
      <c r="E58" s="34">
        <f>IFERROR(VLOOKUP(Entidad!$B$12&amp;"-"&amp;'Plan Financiero'!$C58,DAF_BalanceFinancieroVA!$A$2:$H$2926,8,FALSE),0)</f>
        <v>37.725999999999999</v>
      </c>
      <c r="F58" s="48">
        <v>15</v>
      </c>
      <c r="G58" s="48">
        <v>80</v>
      </c>
      <c r="H58" s="48">
        <f t="shared" si="82"/>
        <v>81.599999999999994</v>
      </c>
      <c r="I58" s="48">
        <f t="shared" si="82"/>
        <v>83.231999999999999</v>
      </c>
      <c r="J58" s="48">
        <f t="shared" si="82"/>
        <v>84.896640000000005</v>
      </c>
      <c r="K58" s="48">
        <f t="shared" si="82"/>
        <v>86.594572800000009</v>
      </c>
      <c r="L58" s="48">
        <f t="shared" si="82"/>
        <v>88.326464256000008</v>
      </c>
      <c r="M58" s="48">
        <f t="shared" si="82"/>
        <v>90.092993541120009</v>
      </c>
      <c r="N58" s="48">
        <f t="shared" si="82"/>
        <v>91.894853411942407</v>
      </c>
      <c r="O58" s="48">
        <f t="shared" si="82"/>
        <v>93.732750480181252</v>
      </c>
      <c r="P58" s="48">
        <f t="shared" si="82"/>
        <v>95.607405489784881</v>
      </c>
      <c r="Q58" s="48">
        <f t="shared" si="82"/>
        <v>97.519553599580576</v>
      </c>
    </row>
    <row r="59" spans="1:17">
      <c r="A59" s="14" t="s">
        <v>119</v>
      </c>
      <c r="B59" s="14" t="s">
        <v>122</v>
      </c>
      <c r="C59" s="14" t="s">
        <v>51</v>
      </c>
      <c r="D59" s="14" t="s">
        <v>199</v>
      </c>
      <c r="E59" s="34">
        <f>IFERROR(VLOOKUP(Entidad!$B$12&amp;"-"&amp;'Plan Financiero'!$C59,DAF_BalanceFinancieroVA!$A$2:$H$2926,8,FALSE),0)</f>
        <v>277.64400000000001</v>
      </c>
      <c r="F59" s="48">
        <f>279-60</f>
        <v>219</v>
      </c>
      <c r="G59" s="48">
        <v>253.28181900000004</v>
      </c>
      <c r="H59" s="48">
        <f t="shared" si="82"/>
        <v>258.34745538000004</v>
      </c>
      <c r="I59" s="48">
        <f t="shared" si="82"/>
        <v>263.51440448760007</v>
      </c>
      <c r="J59" s="48">
        <f t="shared" si="82"/>
        <v>268.78469257735208</v>
      </c>
      <c r="K59" s="48">
        <f t="shared" si="82"/>
        <v>274.16038642889913</v>
      </c>
      <c r="L59" s="48">
        <f t="shared" si="82"/>
        <v>279.64359415747714</v>
      </c>
      <c r="M59" s="48">
        <f t="shared" si="82"/>
        <v>285.23646604062668</v>
      </c>
      <c r="N59" s="48">
        <f t="shared" si="82"/>
        <v>290.94119536143921</v>
      </c>
      <c r="O59" s="48">
        <f t="shared" si="82"/>
        <v>296.76001926866797</v>
      </c>
      <c r="P59" s="48">
        <f t="shared" si="82"/>
        <v>302.69521965404135</v>
      </c>
      <c r="Q59" s="48">
        <f t="shared" si="82"/>
        <v>308.74912404712217</v>
      </c>
    </row>
    <row r="60" spans="1:17">
      <c r="A60" s="14" t="s">
        <v>119</v>
      </c>
      <c r="B60" s="14" t="s">
        <v>122</v>
      </c>
      <c r="C60" s="14" t="s">
        <v>52</v>
      </c>
      <c r="D60" s="14" t="s">
        <v>200</v>
      </c>
      <c r="E60" s="34">
        <f>IFERROR(VLOOKUP(Entidad!$B$12&amp;"-"&amp;'Plan Financiero'!$C60,DAF_BalanceFinancieroVA!$A$2:$H$2926,8,FALSE),0)</f>
        <v>0</v>
      </c>
      <c r="F60" s="48">
        <v>0</v>
      </c>
      <c r="G60" s="48">
        <v>0</v>
      </c>
      <c r="H60" s="48">
        <f t="shared" si="82"/>
        <v>0</v>
      </c>
      <c r="I60" s="48">
        <f t="shared" si="82"/>
        <v>0</v>
      </c>
      <c r="J60" s="48">
        <f t="shared" si="82"/>
        <v>0</v>
      </c>
      <c r="K60" s="48">
        <f t="shared" si="82"/>
        <v>0</v>
      </c>
      <c r="L60" s="48">
        <f t="shared" si="82"/>
        <v>0</v>
      </c>
      <c r="M60" s="48">
        <f t="shared" si="82"/>
        <v>0</v>
      </c>
      <c r="N60" s="48">
        <f t="shared" si="82"/>
        <v>0</v>
      </c>
      <c r="O60" s="48">
        <f t="shared" si="82"/>
        <v>0</v>
      </c>
      <c r="P60" s="48">
        <f t="shared" si="82"/>
        <v>0</v>
      </c>
      <c r="Q60" s="48">
        <f t="shared" si="82"/>
        <v>0</v>
      </c>
    </row>
    <row r="61" spans="1:17">
      <c r="A61" s="14" t="s">
        <v>119</v>
      </c>
      <c r="B61" s="14" t="s">
        <v>122</v>
      </c>
      <c r="C61" s="14" t="s">
        <v>53</v>
      </c>
      <c r="D61" s="14" t="s">
        <v>201</v>
      </c>
      <c r="E61" s="34">
        <f>IFERROR(VLOOKUP(Entidad!$B$12&amp;"-"&amp;'Plan Financiero'!$C61,DAF_BalanceFinancieroVA!$A$2:$H$2926,8,FALSE),0)</f>
        <v>0</v>
      </c>
      <c r="F61" s="48">
        <v>0</v>
      </c>
      <c r="G61" s="48">
        <v>0</v>
      </c>
      <c r="H61" s="48">
        <f t="shared" si="82"/>
        <v>0</v>
      </c>
      <c r="I61" s="48">
        <f t="shared" si="82"/>
        <v>0</v>
      </c>
      <c r="J61" s="48">
        <f t="shared" si="82"/>
        <v>0</v>
      </c>
      <c r="K61" s="48">
        <f t="shared" si="82"/>
        <v>0</v>
      </c>
      <c r="L61" s="48">
        <f t="shared" si="82"/>
        <v>0</v>
      </c>
      <c r="M61" s="48">
        <f t="shared" si="82"/>
        <v>0</v>
      </c>
      <c r="N61" s="48">
        <f t="shared" si="82"/>
        <v>0</v>
      </c>
      <c r="O61" s="48">
        <f t="shared" si="82"/>
        <v>0</v>
      </c>
      <c r="P61" s="48">
        <f t="shared" si="82"/>
        <v>0</v>
      </c>
      <c r="Q61" s="48">
        <f t="shared" si="82"/>
        <v>0</v>
      </c>
    </row>
    <row r="62" spans="1:17">
      <c r="A62" s="14" t="s">
        <v>119</v>
      </c>
      <c r="B62" s="14" t="s">
        <v>122</v>
      </c>
      <c r="C62" s="14" t="s">
        <v>54</v>
      </c>
      <c r="D62" s="14" t="s">
        <v>202</v>
      </c>
      <c r="E62" s="34">
        <f>IFERROR(VLOOKUP(Entidad!$B$12&amp;"-"&amp;'Plan Financiero'!$C62,DAF_BalanceFinancieroVA!$A$2:$H$2926,8,FALSE),0)</f>
        <v>0</v>
      </c>
      <c r="F62" s="48">
        <v>0</v>
      </c>
      <c r="G62" s="48">
        <v>0</v>
      </c>
      <c r="H62" s="48">
        <f t="shared" si="82"/>
        <v>0</v>
      </c>
      <c r="I62" s="48">
        <f t="shared" si="82"/>
        <v>0</v>
      </c>
      <c r="J62" s="48">
        <f t="shared" si="82"/>
        <v>0</v>
      </c>
      <c r="K62" s="48">
        <f t="shared" si="82"/>
        <v>0</v>
      </c>
      <c r="L62" s="48">
        <f t="shared" si="82"/>
        <v>0</v>
      </c>
      <c r="M62" s="48">
        <f t="shared" si="82"/>
        <v>0</v>
      </c>
      <c r="N62" s="48">
        <f t="shared" si="82"/>
        <v>0</v>
      </c>
      <c r="O62" s="48">
        <f t="shared" si="82"/>
        <v>0</v>
      </c>
      <c r="P62" s="48">
        <f t="shared" si="82"/>
        <v>0</v>
      </c>
      <c r="Q62" s="48">
        <f t="shared" si="82"/>
        <v>0</v>
      </c>
    </row>
    <row r="63" spans="1:17">
      <c r="A63" s="14" t="s">
        <v>119</v>
      </c>
      <c r="B63" s="14" t="s">
        <v>1398</v>
      </c>
      <c r="C63" s="17" t="s">
        <v>55</v>
      </c>
      <c r="D63" s="18" t="s">
        <v>203</v>
      </c>
      <c r="E63" s="34">
        <f>IFERROR(VLOOKUP(Entidad!$B$12&amp;"-"&amp;'Plan Financiero'!$C63,DAF_BalanceFinancieroVA!$A$2:$H$2926,8,FALSE),0)</f>
        <v>0</v>
      </c>
      <c r="F63" s="50">
        <v>0</v>
      </c>
      <c r="G63" s="50">
        <v>0</v>
      </c>
      <c r="H63" s="48">
        <f t="shared" si="82"/>
        <v>0</v>
      </c>
      <c r="I63" s="48">
        <f t="shared" si="82"/>
        <v>0</v>
      </c>
      <c r="J63" s="48">
        <f t="shared" si="82"/>
        <v>0</v>
      </c>
      <c r="K63" s="48">
        <f t="shared" si="82"/>
        <v>0</v>
      </c>
      <c r="L63" s="48">
        <f t="shared" si="82"/>
        <v>0</v>
      </c>
      <c r="M63" s="48">
        <f t="shared" si="82"/>
        <v>0</v>
      </c>
      <c r="N63" s="48">
        <f t="shared" si="82"/>
        <v>0</v>
      </c>
      <c r="O63" s="48">
        <f t="shared" si="82"/>
        <v>0</v>
      </c>
      <c r="P63" s="48">
        <f t="shared" si="82"/>
        <v>0</v>
      </c>
      <c r="Q63" s="48">
        <f t="shared" si="82"/>
        <v>0</v>
      </c>
    </row>
    <row r="64" spans="1:17">
      <c r="A64" s="14" t="s">
        <v>119</v>
      </c>
      <c r="B64" s="14" t="s">
        <v>1397</v>
      </c>
      <c r="C64" s="17" t="s">
        <v>56</v>
      </c>
      <c r="D64" s="18" t="s">
        <v>204</v>
      </c>
      <c r="E64" s="34">
        <f>IFERROR(VLOOKUP(Entidad!$B$12&amp;"-"&amp;'Plan Financiero'!$C64,DAF_BalanceFinancieroVA!$A$2:$H$2926,8,FALSE),0)</f>
        <v>0</v>
      </c>
      <c r="F64" s="50">
        <v>0</v>
      </c>
      <c r="G64" s="50">
        <v>0</v>
      </c>
      <c r="H64" s="48">
        <f>+G64*1.02</f>
        <v>0</v>
      </c>
      <c r="I64" s="48">
        <f t="shared" ref="I64:Q64" si="83">+H64*1.02</f>
        <v>0</v>
      </c>
      <c r="J64" s="48">
        <f t="shared" si="83"/>
        <v>0</v>
      </c>
      <c r="K64" s="48">
        <f t="shared" si="83"/>
        <v>0</v>
      </c>
      <c r="L64" s="48">
        <f t="shared" si="83"/>
        <v>0</v>
      </c>
      <c r="M64" s="48">
        <f t="shared" si="83"/>
        <v>0</v>
      </c>
      <c r="N64" s="48">
        <f t="shared" si="83"/>
        <v>0</v>
      </c>
      <c r="O64" s="48">
        <f t="shared" si="83"/>
        <v>0</v>
      </c>
      <c r="P64" s="48">
        <f t="shared" si="83"/>
        <v>0</v>
      </c>
      <c r="Q64" s="48">
        <f t="shared" si="83"/>
        <v>0</v>
      </c>
    </row>
    <row r="65" spans="1:17">
      <c r="A65" s="14" t="s">
        <v>1392</v>
      </c>
      <c r="B65" s="14" t="s">
        <v>1395</v>
      </c>
      <c r="C65" s="32" t="s">
        <v>57</v>
      </c>
      <c r="D65" s="31" t="s">
        <v>205</v>
      </c>
      <c r="E65" s="29">
        <f t="shared" ref="E65" si="84">SUM(E66:E70)</f>
        <v>19428.940999999999</v>
      </c>
      <c r="F65" s="29">
        <f t="shared" ref="F65" si="85">SUM(F66:F70)</f>
        <v>17401</v>
      </c>
      <c r="G65" s="29">
        <f t="shared" ref="G65:P65" si="86">SUM(G66:G70)</f>
        <v>19069.481116999999</v>
      </c>
      <c r="H65" s="29">
        <f t="shared" si="86"/>
        <v>19450.87073934</v>
      </c>
      <c r="I65" s="29">
        <f t="shared" si="86"/>
        <v>19839.888154126802</v>
      </c>
      <c r="J65" s="29">
        <f t="shared" si="86"/>
        <v>20236.685917209335</v>
      </c>
      <c r="K65" s="29">
        <f t="shared" si="86"/>
        <v>20641.41963555352</v>
      </c>
      <c r="L65" s="29">
        <f t="shared" si="86"/>
        <v>21054.248028264596</v>
      </c>
      <c r="M65" s="29">
        <f t="shared" si="86"/>
        <v>21475.332988829887</v>
      </c>
      <c r="N65" s="29">
        <f t="shared" si="86"/>
        <v>21904.839648606481</v>
      </c>
      <c r="O65" s="29">
        <f t="shared" si="86"/>
        <v>22342.936441578615</v>
      </c>
      <c r="P65" s="29">
        <f t="shared" si="86"/>
        <v>22789.795170410191</v>
      </c>
      <c r="Q65" s="29">
        <f t="shared" ref="Q65" si="87">SUM(Q66:Q70)</f>
        <v>23245.591073818392</v>
      </c>
    </row>
    <row r="66" spans="1:17">
      <c r="A66" s="14" t="s">
        <v>119</v>
      </c>
      <c r="B66" s="14" t="s">
        <v>131</v>
      </c>
      <c r="C66" s="14" t="s">
        <v>58</v>
      </c>
      <c r="D66" s="14" t="s">
        <v>206</v>
      </c>
      <c r="E66" s="34">
        <f>IFERROR(VLOOKUP(Entidad!$B$12&amp;"-"&amp;'Plan Financiero'!$C66,DAF_BalanceFinancieroVA!$A$2:$H$2926,8,FALSE),0)</f>
        <v>1029.8489999999999</v>
      </c>
      <c r="F66" s="48">
        <v>980</v>
      </c>
      <c r="G66" s="48">
        <v>653</v>
      </c>
      <c r="H66" s="48">
        <f>+G66*1.02</f>
        <v>666.06000000000006</v>
      </c>
      <c r="I66" s="48">
        <f t="shared" ref="I66:Q66" si="88">+H66*1.02</f>
        <v>679.38120000000004</v>
      </c>
      <c r="J66" s="48">
        <f t="shared" si="88"/>
        <v>692.96882400000004</v>
      </c>
      <c r="K66" s="48">
        <f t="shared" si="88"/>
        <v>706.82820048000008</v>
      </c>
      <c r="L66" s="48">
        <f t="shared" si="88"/>
        <v>720.96476448960004</v>
      </c>
      <c r="M66" s="48">
        <f t="shared" si="88"/>
        <v>735.38405977939203</v>
      </c>
      <c r="N66" s="48">
        <f t="shared" si="88"/>
        <v>750.09174097497987</v>
      </c>
      <c r="O66" s="48">
        <f t="shared" si="88"/>
        <v>765.09357579447953</v>
      </c>
      <c r="P66" s="48">
        <f t="shared" si="88"/>
        <v>780.39544731036915</v>
      </c>
      <c r="Q66" s="48">
        <f t="shared" si="88"/>
        <v>796.00335625657658</v>
      </c>
    </row>
    <row r="67" spans="1:17">
      <c r="A67" s="14" t="s">
        <v>119</v>
      </c>
      <c r="B67" s="14" t="s">
        <v>131</v>
      </c>
      <c r="C67" s="14" t="s">
        <v>59</v>
      </c>
      <c r="D67" s="14" t="s">
        <v>207</v>
      </c>
      <c r="E67" s="34">
        <f>IFERROR(VLOOKUP(Entidad!$B$12&amp;"-"&amp;'Plan Financiero'!$C67,DAF_BalanceFinancieroVA!$A$2:$H$2926,8,FALSE),0)</f>
        <v>16876.616000000002</v>
      </c>
      <c r="F67" s="48">
        <v>15291</v>
      </c>
      <c r="G67" s="48">
        <f>17195.481117+33</f>
        <v>17228.481116999999</v>
      </c>
      <c r="H67" s="48">
        <f t="shared" ref="H67:Q68" si="89">+G67*1.02</f>
        <v>17573.05073934</v>
      </c>
      <c r="I67" s="48">
        <f t="shared" si="89"/>
        <v>17924.511754126801</v>
      </c>
      <c r="J67" s="48">
        <f t="shared" si="89"/>
        <v>18283.001989209337</v>
      </c>
      <c r="K67" s="48">
        <f t="shared" si="89"/>
        <v>18648.662028993524</v>
      </c>
      <c r="L67" s="48">
        <f t="shared" si="89"/>
        <v>19021.635269573395</v>
      </c>
      <c r="M67" s="48">
        <f t="shared" si="89"/>
        <v>19402.067974964863</v>
      </c>
      <c r="N67" s="48">
        <f t="shared" si="89"/>
        <v>19790.109334464159</v>
      </c>
      <c r="O67" s="48">
        <f t="shared" si="89"/>
        <v>20185.911521153444</v>
      </c>
      <c r="P67" s="48">
        <f t="shared" si="89"/>
        <v>20589.629751576515</v>
      </c>
      <c r="Q67" s="48">
        <f t="shared" si="89"/>
        <v>21001.422346608044</v>
      </c>
    </row>
    <row r="68" spans="1:17">
      <c r="A68" s="14" t="s">
        <v>119</v>
      </c>
      <c r="B68" s="14" t="s">
        <v>131</v>
      </c>
      <c r="C68" s="14" t="s">
        <v>60</v>
      </c>
      <c r="D68" s="14" t="s">
        <v>208</v>
      </c>
      <c r="E68" s="34">
        <f>IFERROR(VLOOKUP(Entidad!$B$12&amp;"-"&amp;'Plan Financiero'!$C68,DAF_BalanceFinancieroVA!$A$2:$H$2926,8,FALSE),0)</f>
        <v>1139.0350000000001</v>
      </c>
      <c r="F68" s="48">
        <v>1120</v>
      </c>
      <c r="G68" s="48">
        <v>1188</v>
      </c>
      <c r="H68" s="48">
        <f t="shared" si="89"/>
        <v>1211.76</v>
      </c>
      <c r="I68" s="48">
        <f t="shared" si="89"/>
        <v>1235.9952000000001</v>
      </c>
      <c r="J68" s="48">
        <f t="shared" si="89"/>
        <v>1260.7151040000001</v>
      </c>
      <c r="K68" s="48">
        <f t="shared" si="89"/>
        <v>1285.92940608</v>
      </c>
      <c r="L68" s="48">
        <f t="shared" si="89"/>
        <v>1311.6479942016001</v>
      </c>
      <c r="M68" s="48">
        <f t="shared" si="89"/>
        <v>1337.8809540856321</v>
      </c>
      <c r="N68" s="48">
        <f t="shared" si="89"/>
        <v>1364.6385731673447</v>
      </c>
      <c r="O68" s="48">
        <f t="shared" si="89"/>
        <v>1391.9313446306917</v>
      </c>
      <c r="P68" s="48">
        <f t="shared" si="89"/>
        <v>1419.7699715233055</v>
      </c>
      <c r="Q68" s="48">
        <f t="shared" si="89"/>
        <v>1448.1653709537716</v>
      </c>
    </row>
    <row r="69" spans="1:17">
      <c r="A69" s="14" t="s">
        <v>119</v>
      </c>
      <c r="B69" s="14" t="s">
        <v>131</v>
      </c>
      <c r="C69" s="14" t="s">
        <v>61</v>
      </c>
      <c r="D69" s="14" t="s">
        <v>209</v>
      </c>
      <c r="E69" s="34">
        <f>IFERROR(VLOOKUP(Entidad!$B$12&amp;"-"&amp;'Plan Financiero'!$C69,DAF_BalanceFinancieroVA!$A$2:$H$2926,8,FALSE),0)</f>
        <v>0</v>
      </c>
      <c r="F69" s="48">
        <v>10</v>
      </c>
      <c r="G69" s="48">
        <v>0</v>
      </c>
      <c r="H69" s="48">
        <f t="shared" ref="H69:Q70" si="90">+G69*1.03</f>
        <v>0</v>
      </c>
      <c r="I69" s="48">
        <f t="shared" si="90"/>
        <v>0</v>
      </c>
      <c r="J69" s="48">
        <f t="shared" si="90"/>
        <v>0</v>
      </c>
      <c r="K69" s="48">
        <f t="shared" si="90"/>
        <v>0</v>
      </c>
      <c r="L69" s="48">
        <f t="shared" si="90"/>
        <v>0</v>
      </c>
      <c r="M69" s="48">
        <f t="shared" si="90"/>
        <v>0</v>
      </c>
      <c r="N69" s="48">
        <f t="shared" si="90"/>
        <v>0</v>
      </c>
      <c r="O69" s="48">
        <f t="shared" si="90"/>
        <v>0</v>
      </c>
      <c r="P69" s="48">
        <f t="shared" si="90"/>
        <v>0</v>
      </c>
      <c r="Q69" s="48">
        <f t="shared" si="90"/>
        <v>0</v>
      </c>
    </row>
    <row r="70" spans="1:17">
      <c r="A70" s="14" t="s">
        <v>119</v>
      </c>
      <c r="B70" s="14" t="s">
        <v>131</v>
      </c>
      <c r="C70" s="14" t="s">
        <v>62</v>
      </c>
      <c r="D70" s="14" t="s">
        <v>210</v>
      </c>
      <c r="E70" s="34">
        <f>IFERROR(VLOOKUP(Entidad!$B$12&amp;"-"&amp;'Plan Financiero'!$C70,DAF_BalanceFinancieroVA!$A$2:$H$2926,8,FALSE),0)</f>
        <v>383.44099999999997</v>
      </c>
      <c r="F70" s="48">
        <v>0</v>
      </c>
      <c r="G70" s="48">
        <v>0</v>
      </c>
      <c r="H70" s="48">
        <f t="shared" si="90"/>
        <v>0</v>
      </c>
      <c r="I70" s="48">
        <f t="shared" si="90"/>
        <v>0</v>
      </c>
      <c r="J70" s="48">
        <f t="shared" si="90"/>
        <v>0</v>
      </c>
      <c r="K70" s="48">
        <f t="shared" si="90"/>
        <v>0</v>
      </c>
      <c r="L70" s="48">
        <f t="shared" si="90"/>
        <v>0</v>
      </c>
      <c r="M70" s="48">
        <f t="shared" si="90"/>
        <v>0</v>
      </c>
      <c r="N70" s="48">
        <f t="shared" si="90"/>
        <v>0</v>
      </c>
      <c r="O70" s="48">
        <f t="shared" si="90"/>
        <v>0</v>
      </c>
      <c r="P70" s="48">
        <f t="shared" si="90"/>
        <v>0</v>
      </c>
      <c r="Q70" s="48">
        <f t="shared" si="90"/>
        <v>0</v>
      </c>
    </row>
    <row r="71" spans="1:17">
      <c r="A71" s="14" t="s">
        <v>1392</v>
      </c>
      <c r="B71" s="14" t="s">
        <v>1395</v>
      </c>
      <c r="C71" s="32" t="s">
        <v>63</v>
      </c>
      <c r="D71" s="31" t="s">
        <v>211</v>
      </c>
      <c r="E71" s="29">
        <f t="shared" ref="E71" si="91">SUM(E72:E73)</f>
        <v>119.235</v>
      </c>
      <c r="F71" s="29">
        <f t="shared" ref="F71" si="92">SUM(F72:F73)</f>
        <v>336</v>
      </c>
      <c r="G71" s="29">
        <f t="shared" ref="G71:P71" si="93">SUM(G72:G73)</f>
        <v>301</v>
      </c>
      <c r="H71" s="29">
        <f t="shared" si="93"/>
        <v>397</v>
      </c>
      <c r="I71" s="29">
        <f t="shared" si="93"/>
        <v>316</v>
      </c>
      <c r="J71" s="29">
        <f t="shared" si="93"/>
        <v>230</v>
      </c>
      <c r="K71" s="29">
        <f t="shared" si="93"/>
        <v>145</v>
      </c>
      <c r="L71" s="29">
        <f t="shared" si="93"/>
        <v>83</v>
      </c>
      <c r="M71" s="29">
        <f t="shared" si="93"/>
        <v>48</v>
      </c>
      <c r="N71" s="29">
        <f t="shared" si="93"/>
        <v>13</v>
      </c>
      <c r="O71" s="29">
        <f t="shared" si="93"/>
        <v>0</v>
      </c>
      <c r="P71" s="29">
        <f t="shared" si="93"/>
        <v>0</v>
      </c>
      <c r="Q71" s="29">
        <f t="shared" ref="Q71" si="94">SUM(Q72:Q73)</f>
        <v>0</v>
      </c>
    </row>
    <row r="72" spans="1:17">
      <c r="A72" s="14" t="s">
        <v>119</v>
      </c>
      <c r="B72" s="14" t="s">
        <v>1397</v>
      </c>
      <c r="C72" s="14" t="s">
        <v>64</v>
      </c>
      <c r="D72" s="14" t="s">
        <v>212</v>
      </c>
      <c r="E72" s="34">
        <f>IFERROR(VLOOKUP(Entidad!$B$12&amp;"-"&amp;'Plan Financiero'!$C72,DAF_BalanceFinancieroVA!$A$2:$H$2926,8,FALSE),0)</f>
        <v>119.235</v>
      </c>
      <c r="F72" s="48">
        <v>336</v>
      </c>
      <c r="G72" s="48">
        <v>301</v>
      </c>
      <c r="H72" s="48">
        <v>397</v>
      </c>
      <c r="I72" s="48">
        <v>316</v>
      </c>
      <c r="J72" s="48">
        <v>230</v>
      </c>
      <c r="K72" s="48">
        <v>145</v>
      </c>
      <c r="L72" s="48">
        <v>83</v>
      </c>
      <c r="M72" s="48">
        <v>48</v>
      </c>
      <c r="N72" s="48">
        <v>13</v>
      </c>
      <c r="O72" s="48">
        <v>0</v>
      </c>
      <c r="P72" s="48">
        <v>0</v>
      </c>
      <c r="Q72" s="48">
        <v>0</v>
      </c>
    </row>
    <row r="73" spans="1:17">
      <c r="A73" s="14" t="s">
        <v>119</v>
      </c>
      <c r="B73" s="14" t="s">
        <v>1397</v>
      </c>
      <c r="C73" s="14" t="s">
        <v>65</v>
      </c>
      <c r="D73" s="14" t="s">
        <v>213</v>
      </c>
      <c r="E73" s="34">
        <f>IFERROR(VLOOKUP(Entidad!$B$12&amp;"-"&amp;'Plan Financiero'!$C73,DAF_BalanceFinancieroVA!$A$2:$H$2926,8,FALSE),0)</f>
        <v>0</v>
      </c>
      <c r="F73" s="48"/>
      <c r="G73" s="48"/>
      <c r="H73" s="48"/>
      <c r="I73" s="48"/>
      <c r="J73" s="48"/>
      <c r="K73" s="48"/>
      <c r="L73" s="48"/>
      <c r="M73" s="48"/>
      <c r="N73" s="48"/>
      <c r="O73" s="48"/>
      <c r="P73" s="48"/>
      <c r="Q73" s="48"/>
    </row>
    <row r="74" spans="1:17">
      <c r="A74" s="14" t="s">
        <v>1392</v>
      </c>
      <c r="B74" s="14" t="s">
        <v>1395</v>
      </c>
      <c r="C74" s="11" t="s">
        <v>66</v>
      </c>
      <c r="D74" s="11" t="s">
        <v>67</v>
      </c>
      <c r="E74" s="13">
        <f t="shared" ref="E74" si="95">E6-E48</f>
        <v>4277.3700000000026</v>
      </c>
      <c r="F74" s="13">
        <f t="shared" ref="F74" si="96">F6-F48</f>
        <v>3751</v>
      </c>
      <c r="G74" s="13">
        <f t="shared" ref="G74:P74" si="97">G6-G48</f>
        <v>4297.9765277933548</v>
      </c>
      <c r="H74" s="13">
        <f t="shared" si="97"/>
        <v>4551.6337609097536</v>
      </c>
      <c r="I74" s="13">
        <f t="shared" si="97"/>
        <v>4997.0144697652977</v>
      </c>
      <c r="J74" s="13">
        <f t="shared" si="97"/>
        <v>5462.645033807079</v>
      </c>
      <c r="K74" s="13">
        <f t="shared" si="97"/>
        <v>5943.0693173690852</v>
      </c>
      <c r="L74" s="13">
        <f t="shared" si="97"/>
        <v>6416.8492280889041</v>
      </c>
      <c r="M74" s="13">
        <f t="shared" si="97"/>
        <v>6880.5652927542978</v>
      </c>
      <c r="N74" s="13">
        <f t="shared" si="97"/>
        <v>7361.8172511161101</v>
      </c>
      <c r="O74" s="13">
        <f t="shared" si="97"/>
        <v>7839.2246682203586</v>
      </c>
      <c r="P74" s="13">
        <f t="shared" si="97"/>
        <v>8322.4275658291444</v>
      </c>
      <c r="Q74" s="13">
        <f t="shared" ref="Q74" si="98">Q6-Q48</f>
        <v>8825.0870735174394</v>
      </c>
    </row>
    <row r="75" spans="1:17">
      <c r="A75" s="14" t="s">
        <v>1392</v>
      </c>
      <c r="B75" s="14" t="s">
        <v>1395</v>
      </c>
      <c r="C75" s="11" t="s">
        <v>68</v>
      </c>
      <c r="D75" s="11" t="s">
        <v>69</v>
      </c>
      <c r="E75" s="13">
        <f>SUM(E76:E81)+E86</f>
        <v>173.25800000000001</v>
      </c>
      <c r="F75" s="13">
        <f>SUM(F76:F81)+F86</f>
        <v>1520</v>
      </c>
      <c r="G75" s="13">
        <f t="shared" ref="G75:Q75" si="99">SUM(G76:G81)+G86</f>
        <v>20</v>
      </c>
      <c r="H75" s="13">
        <f t="shared" si="99"/>
        <v>20.6</v>
      </c>
      <c r="I75" s="13">
        <f t="shared" si="99"/>
        <v>21.218000000000004</v>
      </c>
      <c r="J75" s="13">
        <f t="shared" si="99"/>
        <v>21.854540000000004</v>
      </c>
      <c r="K75" s="13">
        <f t="shared" si="99"/>
        <v>22.510176200000004</v>
      </c>
      <c r="L75" s="13">
        <f t="shared" si="99"/>
        <v>23.185481486000004</v>
      </c>
      <c r="M75" s="13">
        <f t="shared" si="99"/>
        <v>23.881045930580004</v>
      </c>
      <c r="N75" s="13">
        <f t="shared" si="99"/>
        <v>24.597477308497407</v>
      </c>
      <c r="O75" s="13">
        <f t="shared" si="99"/>
        <v>25.335401627752329</v>
      </c>
      <c r="P75" s="13">
        <f t="shared" si="99"/>
        <v>26.095463676584899</v>
      </c>
      <c r="Q75" s="13">
        <f t="shared" si="99"/>
        <v>26.878327586882445</v>
      </c>
    </row>
    <row r="76" spans="1:17">
      <c r="A76" s="14" t="s">
        <v>119</v>
      </c>
      <c r="B76" s="14" t="s">
        <v>1396</v>
      </c>
      <c r="C76" s="14" t="s">
        <v>70</v>
      </c>
      <c r="D76" s="14" t="s">
        <v>214</v>
      </c>
      <c r="E76" s="34">
        <f>IFERROR(VLOOKUP(Entidad!$B$12&amp;"-"&amp;'Plan Financiero'!$C76,DAF_BalanceFinancieroVA!$A$2:$H$2926,8,FALSE),0)</f>
        <v>0</v>
      </c>
      <c r="F76" s="48">
        <v>0</v>
      </c>
      <c r="G76" s="48">
        <f>+F76</f>
        <v>0</v>
      </c>
      <c r="H76" s="48">
        <f t="shared" ref="H76:Q76" si="100">+G76</f>
        <v>0</v>
      </c>
      <c r="I76" s="48">
        <f t="shared" si="100"/>
        <v>0</v>
      </c>
      <c r="J76" s="48">
        <f t="shared" si="100"/>
        <v>0</v>
      </c>
      <c r="K76" s="48">
        <f t="shared" si="100"/>
        <v>0</v>
      </c>
      <c r="L76" s="48">
        <f t="shared" si="100"/>
        <v>0</v>
      </c>
      <c r="M76" s="48">
        <f t="shared" si="100"/>
        <v>0</v>
      </c>
      <c r="N76" s="48">
        <f t="shared" si="100"/>
        <v>0</v>
      </c>
      <c r="O76" s="48">
        <f t="shared" si="100"/>
        <v>0</v>
      </c>
      <c r="P76" s="48">
        <f t="shared" si="100"/>
        <v>0</v>
      </c>
      <c r="Q76" s="48">
        <f t="shared" si="100"/>
        <v>0</v>
      </c>
    </row>
    <row r="77" spans="1:17">
      <c r="A77" s="14" t="s">
        <v>119</v>
      </c>
      <c r="B77" s="14" t="s">
        <v>1396</v>
      </c>
      <c r="C77" s="14" t="s">
        <v>71</v>
      </c>
      <c r="D77" s="14" t="s">
        <v>215</v>
      </c>
      <c r="E77" s="34">
        <f>IFERROR(VLOOKUP(Entidad!$B$12&amp;"-"&amp;'Plan Financiero'!$C77,DAF_BalanceFinancieroVA!$A$2:$H$2926,8,FALSE),0)</f>
        <v>0</v>
      </c>
      <c r="F77" s="48">
        <v>0</v>
      </c>
      <c r="G77" s="48">
        <f>+F77</f>
        <v>0</v>
      </c>
      <c r="H77" s="48">
        <f t="shared" ref="H77:Q77" si="101">+G77</f>
        <v>0</v>
      </c>
      <c r="I77" s="48">
        <f t="shared" si="101"/>
        <v>0</v>
      </c>
      <c r="J77" s="48">
        <f t="shared" si="101"/>
        <v>0</v>
      </c>
      <c r="K77" s="48">
        <f t="shared" si="101"/>
        <v>0</v>
      </c>
      <c r="L77" s="48">
        <f t="shared" si="101"/>
        <v>0</v>
      </c>
      <c r="M77" s="48">
        <f t="shared" si="101"/>
        <v>0</v>
      </c>
      <c r="N77" s="48">
        <f t="shared" si="101"/>
        <v>0</v>
      </c>
      <c r="O77" s="48">
        <f t="shared" si="101"/>
        <v>0</v>
      </c>
      <c r="P77" s="48">
        <f t="shared" si="101"/>
        <v>0</v>
      </c>
      <c r="Q77" s="48">
        <f t="shared" si="101"/>
        <v>0</v>
      </c>
    </row>
    <row r="78" spans="1:17">
      <c r="A78" s="14" t="s">
        <v>119</v>
      </c>
      <c r="B78" s="14" t="s">
        <v>1396</v>
      </c>
      <c r="C78" s="14" t="s">
        <v>72</v>
      </c>
      <c r="D78" s="14" t="s">
        <v>216</v>
      </c>
      <c r="E78" s="34">
        <f>IFERROR(VLOOKUP(Entidad!$B$12&amp;"-"&amp;'Plan Financiero'!$C78,DAF_BalanceFinancieroVA!$A$2:$H$2926,8,FALSE),0)</f>
        <v>0</v>
      </c>
      <c r="F78" s="48">
        <v>0</v>
      </c>
      <c r="G78" s="48">
        <f>+F78</f>
        <v>0</v>
      </c>
      <c r="H78" s="48">
        <f t="shared" ref="H78:Q78" si="102">+G78</f>
        <v>0</v>
      </c>
      <c r="I78" s="48">
        <f t="shared" si="102"/>
        <v>0</v>
      </c>
      <c r="J78" s="48">
        <f t="shared" si="102"/>
        <v>0</v>
      </c>
      <c r="K78" s="48">
        <f t="shared" si="102"/>
        <v>0</v>
      </c>
      <c r="L78" s="48">
        <f t="shared" si="102"/>
        <v>0</v>
      </c>
      <c r="M78" s="48">
        <f t="shared" si="102"/>
        <v>0</v>
      </c>
      <c r="N78" s="48">
        <f t="shared" si="102"/>
        <v>0</v>
      </c>
      <c r="O78" s="48">
        <f t="shared" si="102"/>
        <v>0</v>
      </c>
      <c r="P78" s="48">
        <f t="shared" si="102"/>
        <v>0</v>
      </c>
      <c r="Q78" s="48">
        <f t="shared" si="102"/>
        <v>0</v>
      </c>
    </row>
    <row r="79" spans="1:17">
      <c r="A79" s="14" t="s">
        <v>119</v>
      </c>
      <c r="B79" s="14" t="s">
        <v>1396</v>
      </c>
      <c r="C79" s="14" t="s">
        <v>73</v>
      </c>
      <c r="D79" s="14" t="s">
        <v>217</v>
      </c>
      <c r="E79" s="34">
        <f>IFERROR(VLOOKUP(Entidad!$B$12&amp;"-"&amp;'Plan Financiero'!$C79,DAF_BalanceFinancieroVA!$A$2:$H$2926,8,FALSE),0)</f>
        <v>68.706000000000003</v>
      </c>
      <c r="F79" s="48">
        <v>32</v>
      </c>
      <c r="G79" s="48">
        <v>20</v>
      </c>
      <c r="H79" s="49">
        <f>+G79*1.03</f>
        <v>20.6</v>
      </c>
      <c r="I79" s="49">
        <f t="shared" ref="I79:Q79" si="103">+H79*1.03</f>
        <v>21.218000000000004</v>
      </c>
      <c r="J79" s="49">
        <f t="shared" si="103"/>
        <v>21.854540000000004</v>
      </c>
      <c r="K79" s="49">
        <f t="shared" si="103"/>
        <v>22.510176200000004</v>
      </c>
      <c r="L79" s="49">
        <f t="shared" si="103"/>
        <v>23.185481486000004</v>
      </c>
      <c r="M79" s="49">
        <f t="shared" si="103"/>
        <v>23.881045930580004</v>
      </c>
      <c r="N79" s="49">
        <f t="shared" si="103"/>
        <v>24.597477308497407</v>
      </c>
      <c r="O79" s="49">
        <f t="shared" si="103"/>
        <v>25.335401627752329</v>
      </c>
      <c r="P79" s="49">
        <f t="shared" si="103"/>
        <v>26.095463676584899</v>
      </c>
      <c r="Q79" s="49">
        <f t="shared" si="103"/>
        <v>26.878327586882445</v>
      </c>
    </row>
    <row r="80" spans="1:17">
      <c r="A80" s="14" t="s">
        <v>119</v>
      </c>
      <c r="B80" s="14" t="s">
        <v>1396</v>
      </c>
      <c r="C80" s="14" t="s">
        <v>74</v>
      </c>
      <c r="D80" s="14" t="s">
        <v>218</v>
      </c>
      <c r="E80" s="34">
        <f>IFERROR(VLOOKUP(Entidad!$B$12&amp;"-"&amp;'Plan Financiero'!$C80,DAF_BalanceFinancieroVA!$A$2:$H$2926,8,FALSE),0)</f>
        <v>0</v>
      </c>
      <c r="F80" s="48">
        <v>0</v>
      </c>
      <c r="G80" s="48">
        <f>+F80</f>
        <v>0</v>
      </c>
      <c r="H80" s="48">
        <f t="shared" ref="H80:Q80" si="104">+G80</f>
        <v>0</v>
      </c>
      <c r="I80" s="48">
        <f t="shared" si="104"/>
        <v>0</v>
      </c>
      <c r="J80" s="48">
        <f t="shared" si="104"/>
        <v>0</v>
      </c>
      <c r="K80" s="48">
        <f t="shared" si="104"/>
        <v>0</v>
      </c>
      <c r="L80" s="48">
        <f t="shared" si="104"/>
        <v>0</v>
      </c>
      <c r="M80" s="48">
        <f t="shared" si="104"/>
        <v>0</v>
      </c>
      <c r="N80" s="48">
        <f t="shared" si="104"/>
        <v>0</v>
      </c>
      <c r="O80" s="48">
        <f t="shared" si="104"/>
        <v>0</v>
      </c>
      <c r="P80" s="48">
        <f t="shared" si="104"/>
        <v>0</v>
      </c>
      <c r="Q80" s="48">
        <f t="shared" si="104"/>
        <v>0</v>
      </c>
    </row>
    <row r="81" spans="1:17">
      <c r="A81" s="14" t="s">
        <v>1392</v>
      </c>
      <c r="B81" s="14" t="s">
        <v>1396</v>
      </c>
      <c r="C81" s="14" t="s">
        <v>75</v>
      </c>
      <c r="D81" s="14" t="s">
        <v>1403</v>
      </c>
      <c r="E81" s="34">
        <f>SUM(E82:E85)</f>
        <v>0</v>
      </c>
      <c r="F81" s="34">
        <f t="shared" ref="F81:Q81" si="105">SUM(F82:F85)</f>
        <v>0</v>
      </c>
      <c r="G81" s="34">
        <f t="shared" si="105"/>
        <v>0</v>
      </c>
      <c r="H81" s="34">
        <f t="shared" si="105"/>
        <v>0</v>
      </c>
      <c r="I81" s="34">
        <f t="shared" si="105"/>
        <v>0</v>
      </c>
      <c r="J81" s="34">
        <f t="shared" si="105"/>
        <v>0</v>
      </c>
      <c r="K81" s="34">
        <f t="shared" si="105"/>
        <v>0</v>
      </c>
      <c r="L81" s="34">
        <f t="shared" si="105"/>
        <v>0</v>
      </c>
      <c r="M81" s="34">
        <f t="shared" si="105"/>
        <v>0</v>
      </c>
      <c r="N81" s="34">
        <f t="shared" si="105"/>
        <v>0</v>
      </c>
      <c r="O81" s="34">
        <f t="shared" si="105"/>
        <v>0</v>
      </c>
      <c r="P81" s="34">
        <f t="shared" si="105"/>
        <v>0</v>
      </c>
      <c r="Q81" s="34">
        <f t="shared" si="105"/>
        <v>0</v>
      </c>
    </row>
    <row r="82" spans="1:17">
      <c r="A82" s="14" t="s">
        <v>119</v>
      </c>
      <c r="B82" s="14" t="s">
        <v>1396</v>
      </c>
      <c r="C82" s="14" t="s">
        <v>1399</v>
      </c>
      <c r="D82" s="14" t="s">
        <v>1404</v>
      </c>
      <c r="E82" s="34">
        <f>IFERROR(VLOOKUP(Entidad!$B$12&amp;"-"&amp;'Plan Financiero'!$C82,DAF_BalanceFinancieroVA!$A$2:$H$2926,8,FALSE),0)</f>
        <v>0</v>
      </c>
      <c r="F82" s="48">
        <v>0</v>
      </c>
      <c r="G82" s="48">
        <f>+F82</f>
        <v>0</v>
      </c>
      <c r="H82" s="48">
        <f t="shared" ref="H82:Q82" si="106">+G82</f>
        <v>0</v>
      </c>
      <c r="I82" s="48">
        <f t="shared" si="106"/>
        <v>0</v>
      </c>
      <c r="J82" s="48">
        <f t="shared" si="106"/>
        <v>0</v>
      </c>
      <c r="K82" s="48">
        <f t="shared" si="106"/>
        <v>0</v>
      </c>
      <c r="L82" s="48">
        <f t="shared" si="106"/>
        <v>0</v>
      </c>
      <c r="M82" s="48">
        <f t="shared" si="106"/>
        <v>0</v>
      </c>
      <c r="N82" s="48">
        <f t="shared" si="106"/>
        <v>0</v>
      </c>
      <c r="O82" s="48">
        <f t="shared" si="106"/>
        <v>0</v>
      </c>
      <c r="P82" s="48">
        <f t="shared" si="106"/>
        <v>0</v>
      </c>
      <c r="Q82" s="48">
        <f t="shared" si="106"/>
        <v>0</v>
      </c>
    </row>
    <row r="83" spans="1:17">
      <c r="A83" s="14" t="s">
        <v>119</v>
      </c>
      <c r="B83" s="14" t="s">
        <v>1396</v>
      </c>
      <c r="C83" s="14" t="s">
        <v>1401</v>
      </c>
      <c r="D83" s="14" t="s">
        <v>1405</v>
      </c>
      <c r="E83" s="34">
        <f>IFERROR(VLOOKUP(Entidad!$B$12&amp;"-"&amp;'Plan Financiero'!$C83,DAF_BalanceFinancieroVA!$A$2:$H$2926,8,FALSE),0)</f>
        <v>0</v>
      </c>
      <c r="F83" s="48">
        <v>0</v>
      </c>
      <c r="G83" s="48">
        <f>+F83</f>
        <v>0</v>
      </c>
      <c r="H83" s="48">
        <f t="shared" ref="H83:Q83" si="107">+G83</f>
        <v>0</v>
      </c>
      <c r="I83" s="48">
        <f t="shared" si="107"/>
        <v>0</v>
      </c>
      <c r="J83" s="48">
        <f t="shared" si="107"/>
        <v>0</v>
      </c>
      <c r="K83" s="48">
        <f t="shared" si="107"/>
        <v>0</v>
      </c>
      <c r="L83" s="48">
        <f t="shared" si="107"/>
        <v>0</v>
      </c>
      <c r="M83" s="48">
        <f t="shared" si="107"/>
        <v>0</v>
      </c>
      <c r="N83" s="48">
        <f t="shared" si="107"/>
        <v>0</v>
      </c>
      <c r="O83" s="48">
        <f t="shared" si="107"/>
        <v>0</v>
      </c>
      <c r="P83" s="48">
        <f t="shared" si="107"/>
        <v>0</v>
      </c>
      <c r="Q83" s="48">
        <f t="shared" si="107"/>
        <v>0</v>
      </c>
    </row>
    <row r="84" spans="1:17">
      <c r="A84" s="14" t="s">
        <v>119</v>
      </c>
      <c r="B84" s="14" t="s">
        <v>1396</v>
      </c>
      <c r="C84" s="14" t="s">
        <v>1402</v>
      </c>
      <c r="D84" s="14" t="s">
        <v>1406</v>
      </c>
      <c r="E84" s="34">
        <f>IFERROR(VLOOKUP(Entidad!$B$12&amp;"-"&amp;'Plan Financiero'!$C84,DAF_BalanceFinancieroVA!$A$2:$H$2926,8,FALSE),0)</f>
        <v>0</v>
      </c>
      <c r="F84" s="48">
        <v>0</v>
      </c>
      <c r="G84" s="48">
        <f>+F84</f>
        <v>0</v>
      </c>
      <c r="H84" s="48">
        <f t="shared" ref="H84:Q84" si="108">+G84</f>
        <v>0</v>
      </c>
      <c r="I84" s="48">
        <f t="shared" si="108"/>
        <v>0</v>
      </c>
      <c r="J84" s="48">
        <f t="shared" si="108"/>
        <v>0</v>
      </c>
      <c r="K84" s="48">
        <f t="shared" si="108"/>
        <v>0</v>
      </c>
      <c r="L84" s="48">
        <f t="shared" si="108"/>
        <v>0</v>
      </c>
      <c r="M84" s="48">
        <f t="shared" si="108"/>
        <v>0</v>
      </c>
      <c r="N84" s="48">
        <f t="shared" si="108"/>
        <v>0</v>
      </c>
      <c r="O84" s="48">
        <f t="shared" si="108"/>
        <v>0</v>
      </c>
      <c r="P84" s="48">
        <f t="shared" si="108"/>
        <v>0</v>
      </c>
      <c r="Q84" s="48">
        <f t="shared" si="108"/>
        <v>0</v>
      </c>
    </row>
    <row r="85" spans="1:17">
      <c r="A85" s="14" t="s">
        <v>119</v>
      </c>
      <c r="B85" s="14" t="s">
        <v>1396</v>
      </c>
      <c r="C85" s="14" t="s">
        <v>1400</v>
      </c>
      <c r="D85" s="14" t="s">
        <v>1407</v>
      </c>
      <c r="E85" s="34">
        <f>IFERROR(VLOOKUP(Entidad!$B$12&amp;"-"&amp;'Plan Financiero'!$C85,DAF_BalanceFinancieroVA!$A$2:$H$2926,8,FALSE),0)</f>
        <v>0</v>
      </c>
      <c r="F85" s="48">
        <v>0</v>
      </c>
      <c r="G85" s="48">
        <f>+F85</f>
        <v>0</v>
      </c>
      <c r="H85" s="48">
        <f t="shared" ref="H85:Q85" si="109">+G85</f>
        <v>0</v>
      </c>
      <c r="I85" s="48">
        <f t="shared" si="109"/>
        <v>0</v>
      </c>
      <c r="J85" s="48">
        <f t="shared" si="109"/>
        <v>0</v>
      </c>
      <c r="K85" s="48">
        <f t="shared" si="109"/>
        <v>0</v>
      </c>
      <c r="L85" s="48">
        <f t="shared" si="109"/>
        <v>0</v>
      </c>
      <c r="M85" s="48">
        <f t="shared" si="109"/>
        <v>0</v>
      </c>
      <c r="N85" s="48">
        <f t="shared" si="109"/>
        <v>0</v>
      </c>
      <c r="O85" s="48">
        <f t="shared" si="109"/>
        <v>0</v>
      </c>
      <c r="P85" s="48">
        <f t="shared" si="109"/>
        <v>0</v>
      </c>
      <c r="Q85" s="48">
        <f t="shared" si="109"/>
        <v>0</v>
      </c>
    </row>
    <row r="86" spans="1:17">
      <c r="A86" s="14" t="s">
        <v>119</v>
      </c>
      <c r="B86" s="14" t="s">
        <v>1396</v>
      </c>
      <c r="C86" s="14" t="s">
        <v>76</v>
      </c>
      <c r="D86" s="14" t="s">
        <v>219</v>
      </c>
      <c r="E86" s="34">
        <f>IFERROR(VLOOKUP(Entidad!$B$12&amp;"-"&amp;'Plan Financiero'!$C86,DAF_BalanceFinancieroVA!$A$2:$H$2926,8,FALSE),0)</f>
        <v>104.55200000000001</v>
      </c>
      <c r="F86" s="48">
        <v>1488</v>
      </c>
      <c r="G86" s="48">
        <v>0</v>
      </c>
      <c r="H86" s="49">
        <f>+G86*1.03</f>
        <v>0</v>
      </c>
      <c r="I86" s="49">
        <f t="shared" ref="I86:Q86" si="110">+H86*1.03</f>
        <v>0</v>
      </c>
      <c r="J86" s="49">
        <f t="shared" si="110"/>
        <v>0</v>
      </c>
      <c r="K86" s="49">
        <f t="shared" si="110"/>
        <v>0</v>
      </c>
      <c r="L86" s="49">
        <f t="shared" si="110"/>
        <v>0</v>
      </c>
      <c r="M86" s="49">
        <f t="shared" si="110"/>
        <v>0</v>
      </c>
      <c r="N86" s="49">
        <f t="shared" si="110"/>
        <v>0</v>
      </c>
      <c r="O86" s="49">
        <f t="shared" si="110"/>
        <v>0</v>
      </c>
      <c r="P86" s="49">
        <f t="shared" si="110"/>
        <v>0</v>
      </c>
      <c r="Q86" s="49">
        <f t="shared" si="110"/>
        <v>0</v>
      </c>
    </row>
    <row r="87" spans="1:17">
      <c r="A87" s="14" t="s">
        <v>1392</v>
      </c>
      <c r="B87" s="14" t="s">
        <v>1395</v>
      </c>
      <c r="C87" s="11" t="s">
        <v>77</v>
      </c>
      <c r="D87" s="11" t="s">
        <v>78</v>
      </c>
      <c r="E87" s="13">
        <f t="shared" ref="E87" si="111">E88+E95</f>
        <v>6850.9960000000001</v>
      </c>
      <c r="F87" s="13">
        <f t="shared" ref="F87" si="112">F88+F95</f>
        <v>5574</v>
      </c>
      <c r="G87" s="13">
        <f t="shared" ref="G87:P87" si="113">G88+G95</f>
        <v>6106</v>
      </c>
      <c r="H87" s="13">
        <f t="shared" si="113"/>
        <v>3692.1734529871533</v>
      </c>
      <c r="I87" s="13">
        <f t="shared" si="113"/>
        <v>3902.5588385239698</v>
      </c>
      <c r="J87" s="13">
        <f t="shared" si="113"/>
        <v>4386.6385892658418</v>
      </c>
      <c r="K87" s="13">
        <f t="shared" si="113"/>
        <v>4920.9353922416831</v>
      </c>
      <c r="L87" s="13">
        <f t="shared" si="113"/>
        <v>5930.9892522127539</v>
      </c>
      <c r="M87" s="13">
        <f t="shared" si="113"/>
        <v>6396.3580439470443</v>
      </c>
      <c r="N87" s="13">
        <f t="shared" si="113"/>
        <v>6971.6180817167105</v>
      </c>
      <c r="O87" s="13">
        <f t="shared" si="113"/>
        <v>7759.364706548502</v>
      </c>
      <c r="P87" s="13">
        <f t="shared" si="113"/>
        <v>8227.2128917728405</v>
      </c>
      <c r="Q87" s="13">
        <f t="shared" ref="Q87" si="114">Q88+Q95</f>
        <v>8713.7978674344758</v>
      </c>
    </row>
    <row r="88" spans="1:17">
      <c r="A88" s="14" t="s">
        <v>1392</v>
      </c>
      <c r="B88" s="14" t="s">
        <v>1395</v>
      </c>
      <c r="C88" s="32" t="s">
        <v>79</v>
      </c>
      <c r="D88" s="32" t="s">
        <v>220</v>
      </c>
      <c r="E88" s="29">
        <f t="shared" ref="E88" si="115">SUM(E89:E94)</f>
        <v>6850.9960000000001</v>
      </c>
      <c r="F88" s="29">
        <f t="shared" ref="F88" si="116">SUM(F89:F94)</f>
        <v>5574</v>
      </c>
      <c r="G88" s="29">
        <f t="shared" ref="G88:P88" si="117">SUM(G89:G94)</f>
        <v>6106</v>
      </c>
      <c r="H88" s="29">
        <f t="shared" si="117"/>
        <v>3692.1734529871533</v>
      </c>
      <c r="I88" s="29">
        <f t="shared" si="117"/>
        <v>3902.5588385239698</v>
      </c>
      <c r="J88" s="29">
        <f t="shared" si="117"/>
        <v>4386.6385892658418</v>
      </c>
      <c r="K88" s="29">
        <f t="shared" si="117"/>
        <v>4920.9353922416831</v>
      </c>
      <c r="L88" s="29">
        <f t="shared" si="117"/>
        <v>5930.9892522127539</v>
      </c>
      <c r="M88" s="29">
        <f t="shared" si="117"/>
        <v>6396.3580439470443</v>
      </c>
      <c r="N88" s="29">
        <f t="shared" si="117"/>
        <v>6971.6180817167105</v>
      </c>
      <c r="O88" s="29">
        <f t="shared" si="117"/>
        <v>7759.364706548502</v>
      </c>
      <c r="P88" s="29">
        <f t="shared" si="117"/>
        <v>8227.2128917728405</v>
      </c>
      <c r="Q88" s="29">
        <f t="shared" ref="Q88" si="118">SUM(Q89:Q94)</f>
        <v>8713.7978674344758</v>
      </c>
    </row>
    <row r="89" spans="1:17">
      <c r="A89" s="14" t="s">
        <v>119</v>
      </c>
      <c r="B89" s="14" t="s">
        <v>131</v>
      </c>
      <c r="C89" s="14" t="s">
        <v>80</v>
      </c>
      <c r="D89" s="14" t="s">
        <v>221</v>
      </c>
      <c r="E89" s="34">
        <f>IFERROR(VLOOKUP(Entidad!$B$12&amp;"-"&amp;'Plan Financiero'!$C89,DAF_BalanceFinancieroVA!$A$2:$H$2926,8,FALSE),0)</f>
        <v>172.07</v>
      </c>
      <c r="F89" s="48">
        <v>386</v>
      </c>
      <c r="G89" s="48">
        <v>456</v>
      </c>
      <c r="H89" s="48">
        <f>+G89*1.02</f>
        <v>465.12</v>
      </c>
      <c r="I89" s="48">
        <f t="shared" ref="I89:Q89" si="119">+H89*1.02</f>
        <v>474.42240000000004</v>
      </c>
      <c r="J89" s="48">
        <f t="shared" si="119"/>
        <v>483.91084800000004</v>
      </c>
      <c r="K89" s="48">
        <f t="shared" si="119"/>
        <v>493.58906496000003</v>
      </c>
      <c r="L89" s="48">
        <f t="shared" si="119"/>
        <v>503.46084625920003</v>
      </c>
      <c r="M89" s="48">
        <f t="shared" si="119"/>
        <v>513.53006318438406</v>
      </c>
      <c r="N89" s="48">
        <f t="shared" si="119"/>
        <v>523.80066444807176</v>
      </c>
      <c r="O89" s="48">
        <f t="shared" si="119"/>
        <v>534.2766777370332</v>
      </c>
      <c r="P89" s="48">
        <f t="shared" si="119"/>
        <v>544.96221129177388</v>
      </c>
      <c r="Q89" s="48">
        <f t="shared" si="119"/>
        <v>555.86145551760933</v>
      </c>
    </row>
    <row r="90" spans="1:17">
      <c r="A90" s="14" t="s">
        <v>119</v>
      </c>
      <c r="B90" s="14" t="s">
        <v>131</v>
      </c>
      <c r="C90" s="14" t="s">
        <v>81</v>
      </c>
      <c r="D90" s="14" t="s">
        <v>222</v>
      </c>
      <c r="E90" s="34">
        <f>IFERROR(VLOOKUP(Entidad!$B$12&amp;"-"&amp;'Plan Financiero'!$C90,DAF_BalanceFinancieroVA!$A$2:$H$2926,8,FALSE),0)</f>
        <v>0</v>
      </c>
      <c r="F90" s="48">
        <v>0</v>
      </c>
      <c r="G90" s="48">
        <v>0</v>
      </c>
      <c r="H90" s="48">
        <f t="shared" ref="H90:Q93" si="120">+G90*1.02</f>
        <v>0</v>
      </c>
      <c r="I90" s="48">
        <f t="shared" si="120"/>
        <v>0</v>
      </c>
      <c r="J90" s="48">
        <f t="shared" si="120"/>
        <v>0</v>
      </c>
      <c r="K90" s="48">
        <f t="shared" si="120"/>
        <v>0</v>
      </c>
      <c r="L90" s="48">
        <f t="shared" si="120"/>
        <v>0</v>
      </c>
      <c r="M90" s="48">
        <f t="shared" si="120"/>
        <v>0</v>
      </c>
      <c r="N90" s="48">
        <f t="shared" si="120"/>
        <v>0</v>
      </c>
      <c r="O90" s="48">
        <f t="shared" si="120"/>
        <v>0</v>
      </c>
      <c r="P90" s="48">
        <f t="shared" si="120"/>
        <v>0</v>
      </c>
      <c r="Q90" s="48">
        <f t="shared" si="120"/>
        <v>0</v>
      </c>
    </row>
    <row r="91" spans="1:17">
      <c r="A91" s="14" t="s">
        <v>119</v>
      </c>
      <c r="B91" s="14" t="s">
        <v>131</v>
      </c>
      <c r="C91" s="14" t="s">
        <v>82</v>
      </c>
      <c r="D91" s="14" t="s">
        <v>223</v>
      </c>
      <c r="E91" s="34">
        <f>IFERROR(VLOOKUP(Entidad!$B$12&amp;"-"&amp;'Plan Financiero'!$C91,DAF_BalanceFinancieroVA!$A$2:$H$2926,8,FALSE),0)</f>
        <v>415.99</v>
      </c>
      <c r="F91" s="48">
        <f>1134-658-100</f>
        <v>376</v>
      </c>
      <c r="G91" s="48">
        <v>220</v>
      </c>
      <c r="H91" s="48">
        <f t="shared" si="120"/>
        <v>224.4</v>
      </c>
      <c r="I91" s="48">
        <f t="shared" si="120"/>
        <v>228.88800000000001</v>
      </c>
      <c r="J91" s="48">
        <f t="shared" si="120"/>
        <v>233.46576000000002</v>
      </c>
      <c r="K91" s="48">
        <f t="shared" si="120"/>
        <v>238.13507520000002</v>
      </c>
      <c r="L91" s="48">
        <f t="shared" si="120"/>
        <v>242.89777670400002</v>
      </c>
      <c r="M91" s="48">
        <f t="shared" si="120"/>
        <v>247.75573223808001</v>
      </c>
      <c r="N91" s="48">
        <f t="shared" si="120"/>
        <v>252.71084688284162</v>
      </c>
      <c r="O91" s="48">
        <f t="shared" si="120"/>
        <v>257.76506382049848</v>
      </c>
      <c r="P91" s="48">
        <f t="shared" si="120"/>
        <v>262.92036509690848</v>
      </c>
      <c r="Q91" s="48">
        <f t="shared" si="120"/>
        <v>268.17877239884666</v>
      </c>
    </row>
    <row r="92" spans="1:17">
      <c r="A92" s="14" t="s">
        <v>119</v>
      </c>
      <c r="B92" s="14" t="s">
        <v>131</v>
      </c>
      <c r="C92" s="14" t="s">
        <v>83</v>
      </c>
      <c r="D92" s="14" t="s">
        <v>224</v>
      </c>
      <c r="E92" s="34">
        <f>IFERROR(VLOOKUP(Entidad!$B$12&amp;"-"&amp;'Plan Financiero'!$C92,DAF_BalanceFinancieroVA!$A$2:$H$2926,8,FALSE),0)</f>
        <v>226.816</v>
      </c>
      <c r="F92" s="48">
        <v>120</v>
      </c>
      <c r="G92" s="48">
        <v>50</v>
      </c>
      <c r="H92" s="48">
        <f t="shared" si="120"/>
        <v>51</v>
      </c>
      <c r="I92" s="48">
        <f t="shared" si="120"/>
        <v>52.02</v>
      </c>
      <c r="J92" s="48">
        <f t="shared" si="120"/>
        <v>53.060400000000001</v>
      </c>
      <c r="K92" s="48">
        <f t="shared" si="120"/>
        <v>54.121608000000002</v>
      </c>
      <c r="L92" s="48">
        <f t="shared" si="120"/>
        <v>55.204040160000005</v>
      </c>
      <c r="M92" s="48">
        <f t="shared" si="120"/>
        <v>56.308120963200004</v>
      </c>
      <c r="N92" s="48">
        <f t="shared" si="120"/>
        <v>57.434283382464002</v>
      </c>
      <c r="O92" s="48">
        <f t="shared" si="120"/>
        <v>58.582969050113284</v>
      </c>
      <c r="P92" s="48">
        <f t="shared" si="120"/>
        <v>59.754628431115549</v>
      </c>
      <c r="Q92" s="48">
        <f t="shared" si="120"/>
        <v>60.949720999737863</v>
      </c>
    </row>
    <row r="93" spans="1:17">
      <c r="A93" s="14" t="s">
        <v>119</v>
      </c>
      <c r="B93" s="14" t="s">
        <v>131</v>
      </c>
      <c r="C93" s="14" t="s">
        <v>84</v>
      </c>
      <c r="D93" s="14" t="s">
        <v>225</v>
      </c>
      <c r="E93" s="34">
        <f>IFERROR(VLOOKUP(Entidad!$B$12&amp;"-"&amp;'Plan Financiero'!$C93,DAF_BalanceFinancieroVA!$A$2:$H$2926,8,FALSE),0)</f>
        <v>2036.1610000000001</v>
      </c>
      <c r="F93" s="48">
        <f>1680-427-821-280</f>
        <v>152</v>
      </c>
      <c r="G93" s="48">
        <v>345</v>
      </c>
      <c r="H93" s="48">
        <f t="shared" si="120"/>
        <v>351.90000000000003</v>
      </c>
      <c r="I93" s="48">
        <f t="shared" si="120"/>
        <v>358.93800000000005</v>
      </c>
      <c r="J93" s="48">
        <f t="shared" si="120"/>
        <v>366.11676000000006</v>
      </c>
      <c r="K93" s="48">
        <f t="shared" si="120"/>
        <v>373.43909520000005</v>
      </c>
      <c r="L93" s="48">
        <f t="shared" si="120"/>
        <v>380.90787710400008</v>
      </c>
      <c r="M93" s="48">
        <f t="shared" si="120"/>
        <v>388.52603464608006</v>
      </c>
      <c r="N93" s="48">
        <f t="shared" si="120"/>
        <v>396.29655533900166</v>
      </c>
      <c r="O93" s="48">
        <f t="shared" si="120"/>
        <v>404.22248644578167</v>
      </c>
      <c r="P93" s="48">
        <f t="shared" si="120"/>
        <v>412.30693617469728</v>
      </c>
      <c r="Q93" s="48">
        <f t="shared" si="120"/>
        <v>420.55307489819126</v>
      </c>
    </row>
    <row r="94" spans="1:17">
      <c r="A94" s="14" t="s">
        <v>119</v>
      </c>
      <c r="B94" s="14" t="s">
        <v>131</v>
      </c>
      <c r="C94" s="14" t="s">
        <v>85</v>
      </c>
      <c r="D94" s="14" t="s">
        <v>226</v>
      </c>
      <c r="E94" s="34">
        <f>IFERROR(VLOOKUP(Entidad!$B$12&amp;"-"&amp;'Plan Financiero'!$C94,DAF_BalanceFinancieroVA!$A$2:$H$2926,8,FALSE),0)</f>
        <v>3999.9589999999998</v>
      </c>
      <c r="F94" s="48">
        <f>7686-2569-39-238-300</f>
        <v>4540</v>
      </c>
      <c r="G94" s="48">
        <f>2435+2600</f>
        <v>5035</v>
      </c>
      <c r="H94" s="48">
        <v>2599.7534529871532</v>
      </c>
      <c r="I94" s="48">
        <v>2788.2904385239699</v>
      </c>
      <c r="J94" s="48">
        <v>3250.084821265842</v>
      </c>
      <c r="K94" s="48">
        <v>3761.6505488816829</v>
      </c>
      <c r="L94" s="48">
        <v>4748.5187119855536</v>
      </c>
      <c r="M94" s="48">
        <v>5190.2380929153005</v>
      </c>
      <c r="N94" s="48">
        <v>5741.3757316643314</v>
      </c>
      <c r="O94" s="48">
        <v>6504.5175094950755</v>
      </c>
      <c r="P94" s="48">
        <v>6947.2687507783457</v>
      </c>
      <c r="Q94" s="48">
        <v>7408.2548436200914</v>
      </c>
    </row>
    <row r="95" spans="1:17">
      <c r="A95" s="14" t="s">
        <v>119</v>
      </c>
      <c r="B95" s="14" t="s">
        <v>131</v>
      </c>
      <c r="C95" s="19" t="s">
        <v>86</v>
      </c>
      <c r="D95" s="19" t="s">
        <v>227</v>
      </c>
      <c r="E95" s="34">
        <f>IFERROR(VLOOKUP(Entidad!$B$12&amp;"-"&amp;'Plan Financiero'!$C95,DAF_BalanceFinancieroVA!$A$2:$H$2926,8,FALSE),0)</f>
        <v>0</v>
      </c>
      <c r="F95" s="50"/>
      <c r="G95" s="50"/>
      <c r="H95" s="48"/>
      <c r="I95" s="48"/>
      <c r="J95" s="48"/>
      <c r="K95" s="48"/>
      <c r="L95" s="48"/>
      <c r="M95" s="48"/>
      <c r="N95" s="48"/>
      <c r="O95" s="48"/>
      <c r="P95" s="48"/>
      <c r="Q95" s="48"/>
    </row>
    <row r="96" spans="1:17">
      <c r="A96" s="14" t="s">
        <v>1392</v>
      </c>
      <c r="B96" s="14" t="s">
        <v>1395</v>
      </c>
      <c r="C96" s="11" t="s">
        <v>87</v>
      </c>
      <c r="D96" s="11" t="s">
        <v>88</v>
      </c>
      <c r="E96" s="13">
        <f t="shared" ref="E96" si="121">E75-E87</f>
        <v>-6677.7380000000003</v>
      </c>
      <c r="F96" s="13">
        <f t="shared" ref="F96" si="122">F75-F87</f>
        <v>-4054</v>
      </c>
      <c r="G96" s="13">
        <f t="shared" ref="G96:P96" si="123">G75-G87</f>
        <v>-6086</v>
      </c>
      <c r="H96" s="13">
        <f t="shared" si="123"/>
        <v>-3671.5734529871534</v>
      </c>
      <c r="I96" s="13">
        <f t="shared" si="123"/>
        <v>-3881.34083852397</v>
      </c>
      <c r="J96" s="13">
        <f t="shared" si="123"/>
        <v>-4364.7840492658415</v>
      </c>
      <c r="K96" s="13">
        <f t="shared" si="123"/>
        <v>-4898.4252160416827</v>
      </c>
      <c r="L96" s="13">
        <f t="shared" si="123"/>
        <v>-5907.803770726754</v>
      </c>
      <c r="M96" s="13">
        <f t="shared" si="123"/>
        <v>-6372.4769980164647</v>
      </c>
      <c r="N96" s="13">
        <f t="shared" si="123"/>
        <v>-6947.0206044082133</v>
      </c>
      <c r="O96" s="13">
        <f t="shared" si="123"/>
        <v>-7734.0293049207494</v>
      </c>
      <c r="P96" s="13">
        <f t="shared" si="123"/>
        <v>-8201.117428096255</v>
      </c>
      <c r="Q96" s="13">
        <f t="shared" ref="Q96" si="124">Q75-Q87</f>
        <v>-8686.9195398475931</v>
      </c>
    </row>
    <row r="97" spans="1:17">
      <c r="A97" s="14" t="s">
        <v>1392</v>
      </c>
      <c r="B97" s="14" t="s">
        <v>1395</v>
      </c>
      <c r="C97" s="11" t="s">
        <v>89</v>
      </c>
      <c r="D97" s="11" t="s">
        <v>90</v>
      </c>
      <c r="E97" s="13">
        <f t="shared" ref="E97" si="125">E5-E47</f>
        <v>-2400.3679999999949</v>
      </c>
      <c r="F97" s="13">
        <f t="shared" ref="F97" si="126">F5-F47</f>
        <v>-303</v>
      </c>
      <c r="G97" s="13">
        <f t="shared" ref="G97:P97" si="127">G5-G47</f>
        <v>-1788.0234722066452</v>
      </c>
      <c r="H97" s="13">
        <f t="shared" si="127"/>
        <v>880.06030792259844</v>
      </c>
      <c r="I97" s="13">
        <f t="shared" si="127"/>
        <v>1115.6736312413268</v>
      </c>
      <c r="J97" s="13">
        <f t="shared" si="127"/>
        <v>1097.8609845412357</v>
      </c>
      <c r="K97" s="13">
        <f t="shared" si="127"/>
        <v>1044.6441013274016</v>
      </c>
      <c r="L97" s="13">
        <f t="shared" si="127"/>
        <v>509.04545736215368</v>
      </c>
      <c r="M97" s="13">
        <f t="shared" si="127"/>
        <v>508.08829473783408</v>
      </c>
      <c r="N97" s="13">
        <f t="shared" si="127"/>
        <v>414.79664670789498</v>
      </c>
      <c r="O97" s="13">
        <f t="shared" si="127"/>
        <v>105.19536329960829</v>
      </c>
      <c r="P97" s="13">
        <f t="shared" si="127"/>
        <v>121.31013773288578</v>
      </c>
      <c r="Q97" s="13">
        <f t="shared" ref="Q97" si="128">Q5-Q47</f>
        <v>138.16753366984631</v>
      </c>
    </row>
    <row r="98" spans="1:17">
      <c r="A98" s="14" t="s">
        <v>1392</v>
      </c>
      <c r="B98" s="14" t="s">
        <v>1395</v>
      </c>
      <c r="C98" s="11" t="s">
        <v>91</v>
      </c>
      <c r="D98" s="11" t="s">
        <v>92</v>
      </c>
      <c r="E98" s="13">
        <f t="shared" ref="E98" si="129">E99+E106+E107+E108+E109</f>
        <v>3374.7130000000002</v>
      </c>
      <c r="F98" s="13">
        <f t="shared" ref="F98" si="130">F99+F106+F107+F108+F109</f>
        <v>630</v>
      </c>
      <c r="G98" s="13">
        <f t="shared" ref="G98:P98" si="131">G99+G106+G107+G108+G109</f>
        <v>1788</v>
      </c>
      <c r="H98" s="13">
        <f t="shared" si="131"/>
        <v>-869</v>
      </c>
      <c r="I98" s="13">
        <f t="shared" si="131"/>
        <v>-1093</v>
      </c>
      <c r="J98" s="13">
        <f t="shared" si="131"/>
        <v>-1063</v>
      </c>
      <c r="K98" s="13">
        <f t="shared" si="131"/>
        <v>-997</v>
      </c>
      <c r="L98" s="13">
        <f t="shared" si="131"/>
        <v>-448</v>
      </c>
      <c r="M98" s="13">
        <f t="shared" si="131"/>
        <v>-433</v>
      </c>
      <c r="N98" s="13">
        <f t="shared" si="131"/>
        <v>-325</v>
      </c>
      <c r="O98" s="13">
        <f t="shared" si="131"/>
        <v>0</v>
      </c>
      <c r="P98" s="13">
        <f t="shared" si="131"/>
        <v>0</v>
      </c>
      <c r="Q98" s="13">
        <f t="shared" ref="Q98" si="132">Q99+Q106+Q107+Q108+Q109</f>
        <v>0</v>
      </c>
    </row>
    <row r="99" spans="1:17">
      <c r="A99" s="14" t="s">
        <v>1392</v>
      </c>
      <c r="B99" s="14" t="s">
        <v>1395</v>
      </c>
      <c r="C99" s="32" t="s">
        <v>93</v>
      </c>
      <c r="D99" s="31" t="s">
        <v>228</v>
      </c>
      <c r="E99" s="29">
        <f t="shared" ref="E99" si="133">E100+E103</f>
        <v>2369.4070000000002</v>
      </c>
      <c r="F99" s="29">
        <f t="shared" ref="F99" si="134">F100+F103</f>
        <v>-260</v>
      </c>
      <c r="G99" s="29">
        <f t="shared" ref="G99:P99" si="135">G100+G103</f>
        <v>1788</v>
      </c>
      <c r="H99" s="29">
        <f t="shared" si="135"/>
        <v>-869</v>
      </c>
      <c r="I99" s="29">
        <f t="shared" si="135"/>
        <v>-1093</v>
      </c>
      <c r="J99" s="29">
        <f t="shared" si="135"/>
        <v>-1063</v>
      </c>
      <c r="K99" s="29">
        <f t="shared" si="135"/>
        <v>-997</v>
      </c>
      <c r="L99" s="29">
        <f t="shared" si="135"/>
        <v>-448</v>
      </c>
      <c r="M99" s="29">
        <f t="shared" si="135"/>
        <v>-433</v>
      </c>
      <c r="N99" s="29">
        <f t="shared" si="135"/>
        <v>-325</v>
      </c>
      <c r="O99" s="29">
        <f t="shared" si="135"/>
        <v>0</v>
      </c>
      <c r="P99" s="29">
        <f t="shared" si="135"/>
        <v>0</v>
      </c>
      <c r="Q99" s="29">
        <f t="shared" ref="Q99" si="136">Q100+Q103</f>
        <v>0</v>
      </c>
    </row>
    <row r="100" spans="1:17">
      <c r="A100" s="14" t="s">
        <v>1392</v>
      </c>
      <c r="B100" s="14" t="s">
        <v>1395</v>
      </c>
      <c r="C100" s="32" t="s">
        <v>94</v>
      </c>
      <c r="D100" s="31" t="s">
        <v>229</v>
      </c>
      <c r="E100" s="29">
        <f t="shared" ref="E100" si="137">E101-E102</f>
        <v>2369.4070000000002</v>
      </c>
      <c r="F100" s="29">
        <f t="shared" ref="F100" si="138">F101-F102</f>
        <v>-260</v>
      </c>
      <c r="G100" s="29">
        <f t="shared" ref="G100:P100" si="139">G101-G102</f>
        <v>1788</v>
      </c>
      <c r="H100" s="29">
        <f t="shared" si="139"/>
        <v>-869</v>
      </c>
      <c r="I100" s="29">
        <f t="shared" si="139"/>
        <v>-1093</v>
      </c>
      <c r="J100" s="29">
        <f t="shared" si="139"/>
        <v>-1063</v>
      </c>
      <c r="K100" s="29">
        <f t="shared" si="139"/>
        <v>-997</v>
      </c>
      <c r="L100" s="29">
        <f t="shared" si="139"/>
        <v>-448</v>
      </c>
      <c r="M100" s="29">
        <f t="shared" si="139"/>
        <v>-433</v>
      </c>
      <c r="N100" s="29">
        <f t="shared" si="139"/>
        <v>-325</v>
      </c>
      <c r="O100" s="29">
        <f t="shared" si="139"/>
        <v>0</v>
      </c>
      <c r="P100" s="29">
        <f t="shared" si="139"/>
        <v>0</v>
      </c>
      <c r="Q100" s="29">
        <f t="shared" ref="Q100" si="140">Q101-Q102</f>
        <v>0</v>
      </c>
    </row>
    <row r="101" spans="1:17">
      <c r="A101" s="14" t="s">
        <v>119</v>
      </c>
      <c r="B101" s="14" t="s">
        <v>1396</v>
      </c>
      <c r="C101" s="14" t="s">
        <v>95</v>
      </c>
      <c r="D101" s="14" t="s">
        <v>230</v>
      </c>
      <c r="E101" s="34">
        <f>IFERROR(VLOOKUP(Entidad!$B$12&amp;"-"&amp;'Plan Financiero'!$C101,DAF_BalanceFinancieroVA!$A$2:$H$2926,8,FALSE),0)</f>
        <v>2820</v>
      </c>
      <c r="F101" s="48">
        <v>300</v>
      </c>
      <c r="G101" s="48">
        <v>2600</v>
      </c>
      <c r="H101" s="48">
        <v>0</v>
      </c>
      <c r="I101" s="48">
        <v>0</v>
      </c>
      <c r="J101" s="48">
        <v>0</v>
      </c>
      <c r="K101" s="48">
        <v>0</v>
      </c>
      <c r="L101" s="48">
        <v>0</v>
      </c>
      <c r="M101" s="48">
        <v>0</v>
      </c>
      <c r="N101" s="48">
        <v>0</v>
      </c>
      <c r="O101" s="48">
        <v>0</v>
      </c>
      <c r="P101" s="48">
        <v>0</v>
      </c>
      <c r="Q101" s="48">
        <v>0</v>
      </c>
    </row>
    <row r="102" spans="1:17">
      <c r="A102" s="14" t="s">
        <v>119</v>
      </c>
      <c r="B102" s="14" t="s">
        <v>1397</v>
      </c>
      <c r="C102" s="14" t="s">
        <v>96</v>
      </c>
      <c r="D102" s="14" t="s">
        <v>231</v>
      </c>
      <c r="E102" s="34">
        <f>IFERROR(VLOOKUP(Entidad!$B$12&amp;"-"&amp;'Plan Financiero'!$C102,DAF_BalanceFinancieroVA!$A$2:$H$2926,8,FALSE),0)</f>
        <v>450.59300000000002</v>
      </c>
      <c r="F102" s="48">
        <v>560</v>
      </c>
      <c r="G102" s="48">
        <v>812</v>
      </c>
      <c r="H102" s="48">
        <v>869</v>
      </c>
      <c r="I102" s="48">
        <v>1093</v>
      </c>
      <c r="J102" s="48">
        <v>1063</v>
      </c>
      <c r="K102" s="48">
        <v>997</v>
      </c>
      <c r="L102" s="48">
        <v>448</v>
      </c>
      <c r="M102" s="48">
        <v>433</v>
      </c>
      <c r="N102" s="48">
        <v>325</v>
      </c>
      <c r="O102" s="48">
        <v>0</v>
      </c>
      <c r="P102" s="48">
        <v>0</v>
      </c>
      <c r="Q102" s="48">
        <f t="shared" ref="Q102" si="141">+P102</f>
        <v>0</v>
      </c>
    </row>
    <row r="103" spans="1:17">
      <c r="A103" s="14" t="s">
        <v>1392</v>
      </c>
      <c r="B103" s="14" t="s">
        <v>1395</v>
      </c>
      <c r="C103" s="31" t="s">
        <v>97</v>
      </c>
      <c r="D103" s="31" t="s">
        <v>232</v>
      </c>
      <c r="E103" s="29">
        <f>E104-E105</f>
        <v>0</v>
      </c>
      <c r="F103" s="29">
        <f t="shared" ref="F103" si="142">F104-F105</f>
        <v>0</v>
      </c>
      <c r="G103" s="29">
        <f t="shared" ref="G103:P103" si="143">G104-G105</f>
        <v>0</v>
      </c>
      <c r="H103" s="29">
        <f t="shared" si="143"/>
        <v>0</v>
      </c>
      <c r="I103" s="29">
        <f t="shared" si="143"/>
        <v>0</v>
      </c>
      <c r="J103" s="29">
        <f t="shared" si="143"/>
        <v>0</v>
      </c>
      <c r="K103" s="29">
        <f t="shared" si="143"/>
        <v>0</v>
      </c>
      <c r="L103" s="29">
        <f t="shared" si="143"/>
        <v>0</v>
      </c>
      <c r="M103" s="29">
        <f t="shared" si="143"/>
        <v>0</v>
      </c>
      <c r="N103" s="29">
        <f t="shared" si="143"/>
        <v>0</v>
      </c>
      <c r="O103" s="29">
        <f t="shared" si="143"/>
        <v>0</v>
      </c>
      <c r="P103" s="29">
        <f t="shared" si="143"/>
        <v>0</v>
      </c>
      <c r="Q103" s="29">
        <f t="shared" ref="Q103" si="144">Q104-Q105</f>
        <v>0</v>
      </c>
    </row>
    <row r="104" spans="1:17">
      <c r="A104" s="14" t="s">
        <v>119</v>
      </c>
      <c r="B104" s="14" t="s">
        <v>1396</v>
      </c>
      <c r="C104" s="14" t="s">
        <v>98</v>
      </c>
      <c r="D104" s="14" t="s">
        <v>230</v>
      </c>
      <c r="E104" s="34">
        <f>IFERROR(VLOOKUP(Entidad!$B$12&amp;"-"&amp;'Plan Financiero'!$C104,DAF_BalanceFinancieroVA!$A$2:$H$2926,8,FALSE),0)</f>
        <v>0</v>
      </c>
      <c r="F104" s="48">
        <v>0</v>
      </c>
      <c r="G104" s="48">
        <v>0</v>
      </c>
      <c r="H104" s="48">
        <f>+G104</f>
        <v>0</v>
      </c>
      <c r="I104" s="48">
        <f t="shared" ref="I104:Q104" si="145">+H104</f>
        <v>0</v>
      </c>
      <c r="J104" s="48">
        <f t="shared" si="145"/>
        <v>0</v>
      </c>
      <c r="K104" s="48">
        <f t="shared" si="145"/>
        <v>0</v>
      </c>
      <c r="L104" s="48">
        <f t="shared" si="145"/>
        <v>0</v>
      </c>
      <c r="M104" s="48">
        <f t="shared" si="145"/>
        <v>0</v>
      </c>
      <c r="N104" s="48">
        <f t="shared" si="145"/>
        <v>0</v>
      </c>
      <c r="O104" s="48">
        <f t="shared" si="145"/>
        <v>0</v>
      </c>
      <c r="P104" s="48">
        <f t="shared" si="145"/>
        <v>0</v>
      </c>
      <c r="Q104" s="48">
        <f t="shared" si="145"/>
        <v>0</v>
      </c>
    </row>
    <row r="105" spans="1:17">
      <c r="A105" s="14" t="s">
        <v>119</v>
      </c>
      <c r="B105" s="14" t="s">
        <v>1397</v>
      </c>
      <c r="C105" s="14" t="s">
        <v>99</v>
      </c>
      <c r="D105" s="14" t="s">
        <v>231</v>
      </c>
      <c r="E105" s="34">
        <f>IFERROR(VLOOKUP(Entidad!$B$12&amp;"-"&amp;'Plan Financiero'!$C105,DAF_BalanceFinancieroVA!$A$2:$H$2926,8,FALSE),0)</f>
        <v>0</v>
      </c>
      <c r="F105" s="48">
        <v>0</v>
      </c>
      <c r="G105" s="48">
        <v>0</v>
      </c>
      <c r="H105" s="48">
        <f>+G105</f>
        <v>0</v>
      </c>
      <c r="I105" s="48">
        <f t="shared" ref="I105:Q105" si="146">+H105</f>
        <v>0</v>
      </c>
      <c r="J105" s="48">
        <f t="shared" si="146"/>
        <v>0</v>
      </c>
      <c r="K105" s="48">
        <f t="shared" si="146"/>
        <v>0</v>
      </c>
      <c r="L105" s="48">
        <f t="shared" si="146"/>
        <v>0</v>
      </c>
      <c r="M105" s="48">
        <f t="shared" si="146"/>
        <v>0</v>
      </c>
      <c r="N105" s="48">
        <f t="shared" si="146"/>
        <v>0</v>
      </c>
      <c r="O105" s="48">
        <f t="shared" si="146"/>
        <v>0</v>
      </c>
      <c r="P105" s="48">
        <f t="shared" si="146"/>
        <v>0</v>
      </c>
      <c r="Q105" s="48">
        <f t="shared" si="146"/>
        <v>0</v>
      </c>
    </row>
    <row r="106" spans="1:17">
      <c r="A106" s="14" t="s">
        <v>119</v>
      </c>
      <c r="B106" s="14" t="s">
        <v>1396</v>
      </c>
      <c r="C106" s="20" t="s">
        <v>142</v>
      </c>
      <c r="D106" s="20" t="s">
        <v>233</v>
      </c>
      <c r="E106" s="34">
        <f>IFERROR(VLOOKUP(Entidad!$B$12&amp;"-"&amp;'Plan Financiero'!$C106,DAF_BalanceFinancieroVA!$A$2:$H$2926,8,FALSE),0)</f>
        <v>1005.306</v>
      </c>
      <c r="F106" s="48">
        <v>890</v>
      </c>
      <c r="G106" s="48">
        <v>0</v>
      </c>
      <c r="H106" s="51">
        <v>0</v>
      </c>
      <c r="I106" s="48">
        <v>0</v>
      </c>
      <c r="J106" s="51">
        <v>0</v>
      </c>
      <c r="K106" s="48">
        <v>0</v>
      </c>
      <c r="L106" s="51">
        <v>0</v>
      </c>
      <c r="M106" s="48">
        <v>0</v>
      </c>
      <c r="N106" s="51">
        <v>0</v>
      </c>
      <c r="O106" s="48">
        <v>0</v>
      </c>
      <c r="P106" s="51">
        <v>0</v>
      </c>
      <c r="Q106" s="48">
        <v>0</v>
      </c>
    </row>
    <row r="107" spans="1:17">
      <c r="A107" s="14" t="s">
        <v>119</v>
      </c>
      <c r="B107" s="14" t="s">
        <v>1396</v>
      </c>
      <c r="C107" s="20" t="s">
        <v>141</v>
      </c>
      <c r="D107" s="20" t="s">
        <v>234</v>
      </c>
      <c r="E107" s="34">
        <f>IFERROR(VLOOKUP(Entidad!$B$12&amp;"-"&amp;'Plan Financiero'!$C107,DAF_BalanceFinancieroVA!$A$2:$H$2926,8,FALSE),0)</f>
        <v>0</v>
      </c>
      <c r="F107" s="48">
        <v>0</v>
      </c>
      <c r="G107" s="48">
        <v>0</v>
      </c>
      <c r="H107" s="48">
        <v>0</v>
      </c>
      <c r="I107" s="48">
        <v>0</v>
      </c>
      <c r="J107" s="48">
        <v>0</v>
      </c>
      <c r="K107" s="48">
        <v>0</v>
      </c>
      <c r="L107" s="48">
        <v>0</v>
      </c>
      <c r="M107" s="48">
        <v>0</v>
      </c>
      <c r="N107" s="48">
        <v>0</v>
      </c>
      <c r="O107" s="48">
        <v>0</v>
      </c>
      <c r="P107" s="48">
        <v>0</v>
      </c>
      <c r="Q107" s="48">
        <v>0</v>
      </c>
    </row>
    <row r="108" spans="1:17">
      <c r="A108" s="14" t="s">
        <v>119</v>
      </c>
      <c r="B108" s="14" t="s">
        <v>1396</v>
      </c>
      <c r="C108" s="20" t="s">
        <v>140</v>
      </c>
      <c r="D108" s="20" t="s">
        <v>235</v>
      </c>
      <c r="E108" s="34">
        <f>IFERROR(VLOOKUP(Entidad!$B$12&amp;"-"&amp;'Plan Financiero'!$C108,DAF_BalanceFinancieroVA!$A$2:$H$2926,8,FALSE),0)</f>
        <v>0</v>
      </c>
      <c r="F108" s="48">
        <v>0</v>
      </c>
      <c r="G108" s="48">
        <v>0</v>
      </c>
      <c r="H108" s="48">
        <v>0</v>
      </c>
      <c r="I108" s="48">
        <v>0</v>
      </c>
      <c r="J108" s="48">
        <v>0</v>
      </c>
      <c r="K108" s="48">
        <v>0</v>
      </c>
      <c r="L108" s="48">
        <v>0</v>
      </c>
      <c r="M108" s="48">
        <v>0</v>
      </c>
      <c r="N108" s="48">
        <v>0</v>
      </c>
      <c r="O108" s="48">
        <v>0</v>
      </c>
      <c r="P108" s="48">
        <v>0</v>
      </c>
      <c r="Q108" s="48">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47">E5-(E49+E63+E64+E65+E87)+E106</f>
        <v>-1275.8269999999943</v>
      </c>
      <c r="F111" s="13">
        <f t="shared" ref="F111" si="148">F5-(F49+F63+F64+F65+F87)+F106</f>
        <v>923</v>
      </c>
      <c r="G111" s="13">
        <f t="shared" ref="G111:P111" si="149">G5-(G49+G63+G64+G65+G87)+G106</f>
        <v>-1487.0234722066452</v>
      </c>
      <c r="H111" s="13">
        <f t="shared" si="149"/>
        <v>1277.0603079225984</v>
      </c>
      <c r="I111" s="13">
        <f t="shared" si="149"/>
        <v>1431.6736312413268</v>
      </c>
      <c r="J111" s="13">
        <f t="shared" si="149"/>
        <v>1327.8609845412357</v>
      </c>
      <c r="K111" s="13">
        <f t="shared" si="149"/>
        <v>1189.6441013274016</v>
      </c>
      <c r="L111" s="13">
        <f t="shared" si="149"/>
        <v>592.04545736215368</v>
      </c>
      <c r="M111" s="13">
        <f t="shared" si="149"/>
        <v>556.08829473783408</v>
      </c>
      <c r="N111" s="13">
        <f t="shared" si="149"/>
        <v>427.79664670789498</v>
      </c>
      <c r="O111" s="13">
        <f t="shared" si="149"/>
        <v>105.19536329960829</v>
      </c>
      <c r="P111" s="13">
        <f t="shared" si="149"/>
        <v>121.31013773288578</v>
      </c>
      <c r="Q111" s="13">
        <f t="shared" ref="Q111" si="150">Q5-(Q49+Q63+Q64+Q65+Q87)+Q106</f>
        <v>138.16753366984631</v>
      </c>
    </row>
    <row r="112" spans="1:17">
      <c r="A112" s="14" t="s">
        <v>1392</v>
      </c>
      <c r="B112" s="14" t="s">
        <v>1395</v>
      </c>
      <c r="C112" s="19" t="s">
        <v>103</v>
      </c>
      <c r="D112" s="19" t="s">
        <v>238</v>
      </c>
      <c r="E112" s="142">
        <f t="shared" ref="E112" si="151">IF(E111=0,0,IF(E71=0,0,E111/E71))</f>
        <v>-10.700104834989679</v>
      </c>
      <c r="F112" s="142">
        <f t="shared" ref="F112" si="152">IF(F111=0,0,IF(F71=0,0,F111/F71))</f>
        <v>2.7470238095238093</v>
      </c>
      <c r="G112" s="142">
        <f t="shared" ref="G112:P112" si="153">IF(G111=0,0,IF(G71=0,0,G111/G71))</f>
        <v>-4.9402773163011471</v>
      </c>
      <c r="H112" s="142">
        <f t="shared" si="153"/>
        <v>3.2167765942634721</v>
      </c>
      <c r="I112" s="142">
        <f t="shared" si="153"/>
        <v>4.5306127570928068</v>
      </c>
      <c r="J112" s="142">
        <f t="shared" si="153"/>
        <v>5.7733086284401551</v>
      </c>
      <c r="K112" s="142">
        <f t="shared" si="153"/>
        <v>8.2044420781200103</v>
      </c>
      <c r="L112" s="142">
        <f t="shared" si="153"/>
        <v>7.1330777995440204</v>
      </c>
      <c r="M112" s="142">
        <f t="shared" si="153"/>
        <v>11.585172807038211</v>
      </c>
      <c r="N112" s="142">
        <f t="shared" si="153"/>
        <v>32.907434362145764</v>
      </c>
      <c r="O112" s="142">
        <f t="shared" si="153"/>
        <v>0</v>
      </c>
      <c r="P112" s="142">
        <f t="shared" si="153"/>
        <v>0</v>
      </c>
      <c r="Q112" s="142">
        <f t="shared" ref="Q112" si="154">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55">E5+E101+E104+E106+E107+E108</f>
        <v>31718.826000000005</v>
      </c>
      <c r="F114" s="21">
        <f t="shared" ref="F114" si="156">F5+F101+F104+F106+F107+F108</f>
        <v>28229</v>
      </c>
      <c r="G114" s="21">
        <f t="shared" ref="G114:P114" si="157">G5+G101+G104+G106+G107+G108</f>
        <v>30197.905671</v>
      </c>
      <c r="H114" s="21">
        <f t="shared" si="157"/>
        <v>28425.842841129997</v>
      </c>
      <c r="I114" s="21">
        <f t="shared" si="157"/>
        <v>29278.618126363901</v>
      </c>
      <c r="J114" s="21">
        <f t="shared" si="157"/>
        <v>30156.976670154821</v>
      </c>
      <c r="K114" s="21">
        <f t="shared" si="157"/>
        <v>31061.685970259467</v>
      </c>
      <c r="L114" s="21">
        <f t="shared" si="157"/>
        <v>31993.536549367251</v>
      </c>
      <c r="M114" s="21">
        <f t="shared" si="157"/>
        <v>32953.342645848272</v>
      </c>
      <c r="N114" s="21">
        <f t="shared" si="157"/>
        <v>33941.942925223717</v>
      </c>
      <c r="O114" s="21">
        <f t="shared" si="157"/>
        <v>34960.201212980435</v>
      </c>
      <c r="P114" s="21">
        <f t="shared" si="157"/>
        <v>36009.007249369846</v>
      </c>
      <c r="Q114" s="21">
        <f t="shared" ref="Q114" si="158">Q5+Q101+Q104+Q106+Q107+Q108</f>
        <v>37089.277466850945</v>
      </c>
    </row>
    <row r="115" spans="1:17">
      <c r="A115" s="14" t="s">
        <v>1392</v>
      </c>
      <c r="B115" s="14" t="s">
        <v>1395</v>
      </c>
      <c r="C115" s="19" t="s">
        <v>106</v>
      </c>
      <c r="D115" s="19" t="s">
        <v>240</v>
      </c>
      <c r="E115" s="21">
        <f t="shared" ref="E115" si="159">E47+E102+E105</f>
        <v>30744.481</v>
      </c>
      <c r="F115" s="21">
        <f t="shared" ref="F115" si="160">F47+F102+F105</f>
        <v>27902</v>
      </c>
      <c r="G115" s="21">
        <f t="shared" ref="G115:P115" si="161">G47+G102+G105</f>
        <v>30197.929143206646</v>
      </c>
      <c r="H115" s="21">
        <f t="shared" si="161"/>
        <v>28414.782533207399</v>
      </c>
      <c r="I115" s="21">
        <f t="shared" si="161"/>
        <v>29255.944495122574</v>
      </c>
      <c r="J115" s="21">
        <f t="shared" si="161"/>
        <v>30122.115685613586</v>
      </c>
      <c r="K115" s="21">
        <f t="shared" si="161"/>
        <v>31014.041868932065</v>
      </c>
      <c r="L115" s="21">
        <f t="shared" si="161"/>
        <v>31932.491092005097</v>
      </c>
      <c r="M115" s="21">
        <f t="shared" si="161"/>
        <v>32878.254351110438</v>
      </c>
      <c r="N115" s="21">
        <f t="shared" si="161"/>
        <v>33852.146278515822</v>
      </c>
      <c r="O115" s="21">
        <f t="shared" si="161"/>
        <v>34855.005849680827</v>
      </c>
      <c r="P115" s="21">
        <f t="shared" si="161"/>
        <v>35887.69711163696</v>
      </c>
      <c r="Q115" s="21">
        <f t="shared" ref="Q115" si="162">Q47+Q102+Q105</f>
        <v>36951.109933181098</v>
      </c>
    </row>
    <row r="116" spans="1:17">
      <c r="A116" s="14" t="s">
        <v>1392</v>
      </c>
      <c r="B116" s="14" t="s">
        <v>1395</v>
      </c>
      <c r="C116" s="11" t="s">
        <v>107</v>
      </c>
      <c r="D116" s="11" t="s">
        <v>241</v>
      </c>
      <c r="E116" s="13">
        <f t="shared" ref="E116" si="163">E114-E115</f>
        <v>974.3450000000048</v>
      </c>
      <c r="F116" s="13">
        <f t="shared" ref="F116" si="164">F114-F115</f>
        <v>327</v>
      </c>
      <c r="G116" s="13">
        <f t="shared" ref="G116:P116" si="165">G114-G115</f>
        <v>-2.3472206645237748E-2</v>
      </c>
      <c r="H116" s="13">
        <f t="shared" si="165"/>
        <v>11.06030792259844</v>
      </c>
      <c r="I116" s="13">
        <f t="shared" si="165"/>
        <v>22.673631241326802</v>
      </c>
      <c r="J116" s="13">
        <f t="shared" si="165"/>
        <v>34.860984541235666</v>
      </c>
      <c r="K116" s="13">
        <f t="shared" si="165"/>
        <v>47.644101327401586</v>
      </c>
      <c r="L116" s="13">
        <f t="shared" si="165"/>
        <v>61.045457362153684</v>
      </c>
      <c r="M116" s="13">
        <f t="shared" si="165"/>
        <v>75.088294737834076</v>
      </c>
      <c r="N116" s="13">
        <f t="shared" si="165"/>
        <v>89.796646707894979</v>
      </c>
      <c r="O116" s="13">
        <f t="shared" si="165"/>
        <v>105.19536329960829</v>
      </c>
      <c r="P116" s="13">
        <f t="shared" si="165"/>
        <v>121.31013773288578</v>
      </c>
      <c r="Q116" s="13">
        <f t="shared" ref="Q116" si="166">Q114-Q115</f>
        <v>138.16753366984631</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51.454000000000001</v>
      </c>
      <c r="F119" s="50"/>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0</v>
      </c>
      <c r="F120" s="50"/>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51.454000000000001</v>
      </c>
      <c r="F121" s="50"/>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67">E119-E120-E121</f>
        <v>0</v>
      </c>
      <c r="F122" s="13">
        <f t="shared" ref="F122" si="168">F119-F120-F121</f>
        <v>0</v>
      </c>
      <c r="G122" s="13">
        <f t="shared" ref="G122:P122" si="169">G119-G120-G121</f>
        <v>0</v>
      </c>
      <c r="H122" s="13">
        <f t="shared" si="169"/>
        <v>0</v>
      </c>
      <c r="I122" s="13">
        <f t="shared" si="169"/>
        <v>0</v>
      </c>
      <c r="J122" s="13">
        <f t="shared" si="169"/>
        <v>0</v>
      </c>
      <c r="K122" s="13">
        <f t="shared" si="169"/>
        <v>0</v>
      </c>
      <c r="L122" s="13">
        <f t="shared" si="169"/>
        <v>0</v>
      </c>
      <c r="M122" s="13">
        <f t="shared" si="169"/>
        <v>0</v>
      </c>
      <c r="N122" s="13">
        <f t="shared" si="169"/>
        <v>0</v>
      </c>
      <c r="O122" s="13">
        <f t="shared" si="169"/>
        <v>0</v>
      </c>
      <c r="P122" s="13">
        <f t="shared" si="169"/>
        <v>0</v>
      </c>
      <c r="Q122" s="13">
        <f t="shared" ref="Q122" si="170">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71">E114+E119</f>
        <v>31770.280000000006</v>
      </c>
      <c r="F125" s="16">
        <f t="shared" ref="F125" si="172">F114+F119</f>
        <v>28229</v>
      </c>
      <c r="G125" s="16">
        <f t="shared" ref="G125:P125" si="173">G114+G119</f>
        <v>30197.905671</v>
      </c>
      <c r="H125" s="16">
        <f t="shared" si="173"/>
        <v>28425.842841129997</v>
      </c>
      <c r="I125" s="16">
        <f t="shared" si="173"/>
        <v>29278.618126363901</v>
      </c>
      <c r="J125" s="16">
        <f t="shared" si="173"/>
        <v>30156.976670154821</v>
      </c>
      <c r="K125" s="16">
        <f t="shared" si="173"/>
        <v>31061.685970259467</v>
      </c>
      <c r="L125" s="16">
        <f t="shared" si="173"/>
        <v>31993.536549367251</v>
      </c>
      <c r="M125" s="16">
        <f t="shared" si="173"/>
        <v>32953.342645848272</v>
      </c>
      <c r="N125" s="16">
        <f t="shared" si="173"/>
        <v>33941.942925223717</v>
      </c>
      <c r="O125" s="16">
        <f t="shared" si="173"/>
        <v>34960.201212980435</v>
      </c>
      <c r="P125" s="16">
        <f t="shared" si="173"/>
        <v>36009.007249369846</v>
      </c>
      <c r="Q125" s="16">
        <f t="shared" ref="Q125" si="174">Q114+Q119</f>
        <v>37089.277466850945</v>
      </c>
    </row>
    <row r="126" spans="1:17">
      <c r="A126" s="14" t="s">
        <v>1392</v>
      </c>
      <c r="B126" s="14" t="s">
        <v>1395</v>
      </c>
      <c r="C126" s="19" t="s">
        <v>111</v>
      </c>
      <c r="D126" s="19" t="s">
        <v>246</v>
      </c>
      <c r="E126" s="16">
        <f t="shared" ref="E126" si="175">E115+E120+E121</f>
        <v>30795.935000000001</v>
      </c>
      <c r="F126" s="16">
        <f t="shared" ref="F126" si="176">F115+F120+F121</f>
        <v>27902</v>
      </c>
      <c r="G126" s="16">
        <f t="shared" ref="G126:P126" si="177">G115+G120+G121</f>
        <v>30197.929143206646</v>
      </c>
      <c r="H126" s="16">
        <f t="shared" si="177"/>
        <v>28414.782533207399</v>
      </c>
      <c r="I126" s="16">
        <f t="shared" si="177"/>
        <v>29255.944495122574</v>
      </c>
      <c r="J126" s="16">
        <f t="shared" si="177"/>
        <v>30122.115685613586</v>
      </c>
      <c r="K126" s="16">
        <f t="shared" si="177"/>
        <v>31014.041868932065</v>
      </c>
      <c r="L126" s="16">
        <f t="shared" si="177"/>
        <v>31932.491092005097</v>
      </c>
      <c r="M126" s="16">
        <f t="shared" si="177"/>
        <v>32878.254351110438</v>
      </c>
      <c r="N126" s="16">
        <f t="shared" si="177"/>
        <v>33852.146278515822</v>
      </c>
      <c r="O126" s="16">
        <f t="shared" si="177"/>
        <v>34855.005849680827</v>
      </c>
      <c r="P126" s="16">
        <f t="shared" si="177"/>
        <v>35887.69711163696</v>
      </c>
      <c r="Q126" s="16">
        <f t="shared" ref="Q126" si="178">Q115+Q120+Q121</f>
        <v>36951.109933181098</v>
      </c>
    </row>
    <row r="127" spans="1:17">
      <c r="A127" s="14" t="s">
        <v>1392</v>
      </c>
      <c r="B127" s="14" t="s">
        <v>1395</v>
      </c>
      <c r="C127" s="11" t="s">
        <v>112</v>
      </c>
      <c r="D127" s="11" t="s">
        <v>241</v>
      </c>
      <c r="E127" s="13">
        <f t="shared" ref="E127" si="179">E125-E126</f>
        <v>974.3450000000048</v>
      </c>
      <c r="F127" s="13">
        <f t="shared" ref="F127" si="180">F125-F126</f>
        <v>327</v>
      </c>
      <c r="G127" s="13">
        <f t="shared" ref="G127:P127" si="181">G125-G126</f>
        <v>-2.3472206645237748E-2</v>
      </c>
      <c r="H127" s="13">
        <f t="shared" si="181"/>
        <v>11.06030792259844</v>
      </c>
      <c r="I127" s="13">
        <f t="shared" si="181"/>
        <v>22.673631241326802</v>
      </c>
      <c r="J127" s="13">
        <f t="shared" si="181"/>
        <v>34.860984541235666</v>
      </c>
      <c r="K127" s="13">
        <f t="shared" si="181"/>
        <v>47.644101327401586</v>
      </c>
      <c r="L127" s="13">
        <f t="shared" si="181"/>
        <v>61.045457362153684</v>
      </c>
      <c r="M127" s="13">
        <f t="shared" si="181"/>
        <v>75.088294737834076</v>
      </c>
      <c r="N127" s="13">
        <f t="shared" si="181"/>
        <v>89.796646707894979</v>
      </c>
      <c r="O127" s="13">
        <f t="shared" si="181"/>
        <v>105.19536329960829</v>
      </c>
      <c r="P127" s="13">
        <f t="shared" si="181"/>
        <v>121.31013773288578</v>
      </c>
      <c r="Q127" s="13">
        <f t="shared" ref="Q127" si="182">Q125-Q126</f>
        <v>138.16753366984631</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9"/>
  <sheetViews>
    <sheetView zoomScaleNormal="100" workbookViewId="0">
      <pane xSplit="1" ySplit="4" topLeftCell="B5" activePane="bottomRight" state="frozen"/>
      <selection pane="topRight" activeCell="B1" sqref="B1"/>
      <selection pane="bottomLeft" activeCell="A4" sqref="A4"/>
      <selection pane="bottomRight" activeCell="A14" sqref="A14"/>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CAMPOALEGRE</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27720.262000000002</v>
      </c>
      <c r="C5" s="55">
        <f>+'Plan Financiero'!F6</f>
        <v>25519</v>
      </c>
      <c r="D5" s="55">
        <f>+'Plan Financiero'!G6</f>
        <v>27577.905671</v>
      </c>
      <c r="E5" s="55">
        <f>+'Plan Financiero'!H6</f>
        <v>28405.242841129999</v>
      </c>
      <c r="F5" s="55">
        <f>+'Plan Financiero'!I6</f>
        <v>29257.4001263639</v>
      </c>
      <c r="G5" s="55">
        <f>+'Plan Financiero'!J6</f>
        <v>30135.122130154821</v>
      </c>
      <c r="H5" s="55">
        <f>+'Plan Financiero'!K6</f>
        <v>31039.175794059465</v>
      </c>
      <c r="I5" s="55">
        <f>+'Plan Financiero'!L6</f>
        <v>31970.351067881249</v>
      </c>
      <c r="J5" s="55">
        <f>+'Plan Financiero'!M6</f>
        <v>32929.461599917689</v>
      </c>
      <c r="K5" s="55">
        <f>+'Plan Financiero'!N6</f>
        <v>33917.345447915221</v>
      </c>
      <c r="L5" s="55">
        <f>+'Plan Financiero'!O6</f>
        <v>34934.865811352684</v>
      </c>
      <c r="M5" s="55">
        <f>+'Plan Financiero'!P6</f>
        <v>35982.911785693264</v>
      </c>
      <c r="N5" s="55">
        <f>+'Plan Financiero'!Q6</f>
        <v>37062.39913926406</v>
      </c>
    </row>
    <row r="6" spans="1:14">
      <c r="A6" s="24" t="s">
        <v>130</v>
      </c>
      <c r="B6" s="55">
        <f>+'Plan Financiero'!E75+'Plan Financiero'!E106</f>
        <v>1178.5640000000001</v>
      </c>
      <c r="C6" s="55">
        <f>+'Plan Financiero'!F75+'Plan Financiero'!F106</f>
        <v>2410</v>
      </c>
      <c r="D6" s="55">
        <f>+'Plan Financiero'!G75+'Plan Financiero'!G106</f>
        <v>20</v>
      </c>
      <c r="E6" s="55">
        <f>+'Plan Financiero'!H75+'Plan Financiero'!H106</f>
        <v>20.6</v>
      </c>
      <c r="F6" s="55">
        <f>+'Plan Financiero'!I75+'Plan Financiero'!I106</f>
        <v>21.218000000000004</v>
      </c>
      <c r="G6" s="55">
        <f>+'Plan Financiero'!J75+'Plan Financiero'!J106</f>
        <v>21.854540000000004</v>
      </c>
      <c r="H6" s="55">
        <f>+'Plan Financiero'!K75+'Plan Financiero'!K106</f>
        <v>22.510176200000004</v>
      </c>
      <c r="I6" s="55">
        <f>+'Plan Financiero'!L75+'Plan Financiero'!L106</f>
        <v>23.185481486000004</v>
      </c>
      <c r="J6" s="55">
        <f>+'Plan Financiero'!M75+'Plan Financiero'!M106</f>
        <v>23.881045930580004</v>
      </c>
      <c r="K6" s="55">
        <f>+'Plan Financiero'!N75+'Plan Financiero'!N106</f>
        <v>24.597477308497407</v>
      </c>
      <c r="L6" s="55">
        <f>+'Plan Financiero'!O75+'Plan Financiero'!O106</f>
        <v>25.335401627752329</v>
      </c>
      <c r="M6" s="55">
        <f>+'Plan Financiero'!P75+'Plan Financiero'!P106</f>
        <v>26.095463676584899</v>
      </c>
      <c r="N6" s="55">
        <f>+'Plan Financiero'!Q75+'Plan Financiero'!Q106</f>
        <v>26.878327586882445</v>
      </c>
    </row>
    <row r="7" spans="1:14">
      <c r="A7" s="24" t="s">
        <v>122</v>
      </c>
      <c r="B7" s="55">
        <f>+'Plan Financiero'!E49</f>
        <v>3894.7159999999999</v>
      </c>
      <c r="C7" s="55">
        <f>+'Plan Financiero'!F49</f>
        <v>4031</v>
      </c>
      <c r="D7" s="55">
        <f>+'Plan Financiero'!G49</f>
        <v>3909.4480262066445</v>
      </c>
      <c r="E7" s="55">
        <f>+'Plan Financiero'!H49</f>
        <v>4005.7383408802448</v>
      </c>
      <c r="F7" s="55">
        <f>+'Plan Financiero'!I49</f>
        <v>4104.4975024717996</v>
      </c>
      <c r="G7" s="55">
        <f>+'Plan Financiero'!J49</f>
        <v>4205.7911791384049</v>
      </c>
      <c r="H7" s="55">
        <f>+'Plan Financiero'!K49</f>
        <v>4309.6868411368578</v>
      </c>
      <c r="I7" s="55">
        <f>+'Plan Financiero'!L49</f>
        <v>4416.2538115277493</v>
      </c>
      <c r="J7" s="55">
        <f>+'Plan Financiero'!M49</f>
        <v>4525.563318333503</v>
      </c>
      <c r="K7" s="55">
        <f>+'Plan Financiero'!N49</f>
        <v>4637.6885481926283</v>
      </c>
      <c r="L7" s="55">
        <f>+'Plan Financiero'!O49</f>
        <v>4752.70470155371</v>
      </c>
      <c r="M7" s="55">
        <f>+'Plan Financiero'!P49</f>
        <v>4870.6890494539302</v>
      </c>
      <c r="N7" s="55">
        <f>+'Plan Financiero'!Q49</f>
        <v>4991.7209919282295</v>
      </c>
    </row>
    <row r="8" spans="1:14">
      <c r="A8" s="24" t="s">
        <v>131</v>
      </c>
      <c r="B8" s="55">
        <f>+'Plan Financiero'!E65+'Plan Financiero'!E87+SUM('Plan Financiero'!E63:E64)</f>
        <v>26279.936999999998</v>
      </c>
      <c r="C8" s="55">
        <f>+'Plan Financiero'!F65+'Plan Financiero'!F87+SUM('Plan Financiero'!F63:F64)</f>
        <v>22975</v>
      </c>
      <c r="D8" s="55">
        <f>+'Plan Financiero'!G65+'Plan Financiero'!G87+SUM('Plan Financiero'!G63:G64)</f>
        <v>25175.481116999999</v>
      </c>
      <c r="E8" s="55">
        <f>+'Plan Financiero'!H65+'Plan Financiero'!H87+SUM('Plan Financiero'!H63:H64)</f>
        <v>23143.044192327154</v>
      </c>
      <c r="F8" s="55">
        <f>+'Plan Financiero'!I65+'Plan Financiero'!I87+SUM('Plan Financiero'!I63:I64)</f>
        <v>23742.446992650774</v>
      </c>
      <c r="G8" s="55">
        <f>+'Plan Financiero'!J65+'Plan Financiero'!J87+SUM('Plan Financiero'!J63:J64)</f>
        <v>24623.324506475175</v>
      </c>
      <c r="H8" s="55">
        <f>+'Plan Financiero'!K65+'Plan Financiero'!K87+SUM('Plan Financiero'!K63:K64)</f>
        <v>25562.355027795202</v>
      </c>
      <c r="I8" s="55">
        <f>+'Plan Financiero'!L65+'Plan Financiero'!L87+SUM('Plan Financiero'!L63:L64)</f>
        <v>26985.237280477348</v>
      </c>
      <c r="J8" s="55">
        <f>+'Plan Financiero'!M65+'Plan Financiero'!M87+SUM('Plan Financiero'!M63:M64)</f>
        <v>27871.691032776929</v>
      </c>
      <c r="K8" s="55">
        <f>+'Plan Financiero'!N65+'Plan Financiero'!N87+SUM('Plan Financiero'!N63:N64)</f>
        <v>28876.457730323193</v>
      </c>
      <c r="L8" s="55">
        <f>+'Plan Financiero'!O65+'Plan Financiero'!O87+SUM('Plan Financiero'!O63:O64)</f>
        <v>30102.301148127117</v>
      </c>
      <c r="M8" s="55">
        <f>+'Plan Financiero'!P65+'Plan Financiero'!P87+SUM('Plan Financiero'!P63:P64)</f>
        <v>31017.008062183031</v>
      </c>
      <c r="N8" s="55">
        <f>+'Plan Financiero'!Q65+'Plan Financiero'!Q87+SUM('Plan Financiero'!Q63:Q64)</f>
        <v>31959.388941252866</v>
      </c>
    </row>
    <row r="9" spans="1:14">
      <c r="A9" s="109" t="s">
        <v>1615</v>
      </c>
      <c r="B9" s="141">
        <f t="shared" ref="B9:C9" si="0">+B5+B6-B7-B8</f>
        <v>-1275.8269999999975</v>
      </c>
      <c r="C9" s="141">
        <f t="shared" si="0"/>
        <v>923</v>
      </c>
      <c r="D9" s="141">
        <f t="shared" ref="D9:M9" si="1">+D5+D6-D7-D8</f>
        <v>-1487.0234722066416</v>
      </c>
      <c r="E9" s="141">
        <f t="shared" si="1"/>
        <v>1277.0603079225984</v>
      </c>
      <c r="F9" s="141">
        <f t="shared" si="1"/>
        <v>1431.6736312413268</v>
      </c>
      <c r="G9" s="141">
        <f t="shared" si="1"/>
        <v>1327.8609845412429</v>
      </c>
      <c r="H9" s="141">
        <f t="shared" si="1"/>
        <v>1189.6441013274089</v>
      </c>
      <c r="I9" s="141">
        <f t="shared" si="1"/>
        <v>592.04545736215368</v>
      </c>
      <c r="J9" s="141">
        <f t="shared" si="1"/>
        <v>556.08829473784135</v>
      </c>
      <c r="K9" s="141">
        <f t="shared" si="1"/>
        <v>427.79664670789498</v>
      </c>
      <c r="L9" s="141">
        <f t="shared" si="1"/>
        <v>105.19536329960829</v>
      </c>
      <c r="M9" s="141">
        <f t="shared" si="1"/>
        <v>121.31013773288578</v>
      </c>
      <c r="N9" s="141">
        <f t="shared" ref="N9" si="2">+N5+N6-N7-N8</f>
        <v>138.16753366984994</v>
      </c>
    </row>
    <row r="10" spans="1:14" ht="28.5" customHeight="1">
      <c r="A10" s="22" t="s">
        <v>1645</v>
      </c>
      <c r="B10" s="152">
        <f>IF(B14&lt;&gt;0,B9/(B14),IF(AND(B14=0,B9&lt;0),0,0))</f>
        <v>-10.700104834989705</v>
      </c>
      <c r="C10" s="152">
        <f t="shared" ref="C10:M10" si="3">IF(C14&lt;&gt;0,C9/(C14),IF(AND(C14=0,C9&lt;0),0,0))</f>
        <v>2.7470238095238093</v>
      </c>
      <c r="D10" s="152">
        <f t="shared" si="3"/>
        <v>-4.9402773163011346</v>
      </c>
      <c r="E10" s="152">
        <f t="shared" si="3"/>
        <v>3.2167765942634721</v>
      </c>
      <c r="F10" s="152">
        <f t="shared" si="3"/>
        <v>4.5306127570928068</v>
      </c>
      <c r="G10" s="152">
        <f t="shared" si="3"/>
        <v>5.7733086284401871</v>
      </c>
      <c r="H10" s="152">
        <f t="shared" si="3"/>
        <v>8.2044420781200618</v>
      </c>
      <c r="I10" s="152">
        <f t="shared" si="3"/>
        <v>7.1330777995440204</v>
      </c>
      <c r="J10" s="152">
        <f t="shared" si="3"/>
        <v>11.585172807038361</v>
      </c>
      <c r="K10" s="152">
        <f t="shared" si="3"/>
        <v>32.907434362145764</v>
      </c>
      <c r="L10" s="152">
        <f t="shared" si="3"/>
        <v>0</v>
      </c>
      <c r="M10" s="152">
        <f t="shared" si="3"/>
        <v>0</v>
      </c>
      <c r="N10" s="152">
        <f t="shared" ref="N10" si="4">IF(N14&lt;&gt;0,N9/(N14),IF(AND(N14=0,N9&lt;0),0,0))</f>
        <v>0</v>
      </c>
    </row>
    <row r="11" spans="1:14" s="60" customFormat="1" ht="12.75">
      <c r="A11" s="23"/>
      <c r="B11" s="23" t="str">
        <f>IF(B14=0,"",IF(B10&lt;100%,"INSOSTENIBLE","SOSTENIBLE"))</f>
        <v>INSOSTENIBLE</v>
      </c>
      <c r="C11" s="23" t="str">
        <f t="shared" ref="C11:N11" si="5">IF(C14=0,"",IF(C10&lt;100%,"INSOSTENIBLE","SOSTENIBLE"))</f>
        <v>SOSTENIBLE</v>
      </c>
      <c r="D11" s="23" t="str">
        <f t="shared" si="5"/>
        <v>INSOSTENIBLE</v>
      </c>
      <c r="E11" s="23" t="str">
        <f t="shared" si="5"/>
        <v>SOSTENIBLE</v>
      </c>
      <c r="F11" s="23" t="str">
        <f t="shared" si="5"/>
        <v>SOSTENIBLE</v>
      </c>
      <c r="G11" s="23" t="str">
        <f t="shared" si="5"/>
        <v>SOSTENIBLE</v>
      </c>
      <c r="H11" s="23" t="str">
        <f t="shared" si="5"/>
        <v>SOSTENIBLE</v>
      </c>
      <c r="I11" s="23" t="str">
        <f t="shared" si="5"/>
        <v>SOSTENIBLE</v>
      </c>
      <c r="J11" s="23" t="str">
        <f t="shared" si="5"/>
        <v>SOSTENIBLE</v>
      </c>
      <c r="K11" s="23" t="str">
        <f t="shared" si="5"/>
        <v>SOSTENIBLE</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119.235</v>
      </c>
      <c r="C14" s="58">
        <f>+'Plan Financiero'!F71</f>
        <v>336</v>
      </c>
      <c r="D14" s="58">
        <f>+'Plan Financiero'!G71</f>
        <v>301</v>
      </c>
      <c r="E14" s="58">
        <f>+'Plan Financiero'!H71</f>
        <v>397</v>
      </c>
      <c r="F14" s="58">
        <f>+'Plan Financiero'!I71</f>
        <v>316</v>
      </c>
      <c r="G14" s="58">
        <f>+'Plan Financiero'!J71</f>
        <v>230</v>
      </c>
      <c r="H14" s="58">
        <f>+'Plan Financiero'!K71</f>
        <v>145</v>
      </c>
      <c r="I14" s="58">
        <f>+'Plan Financiero'!L71</f>
        <v>83</v>
      </c>
      <c r="J14" s="58">
        <f>+'Plan Financiero'!M71</f>
        <v>48</v>
      </c>
      <c r="K14" s="58">
        <f>+'Plan Financiero'!N71</f>
        <v>13</v>
      </c>
      <c r="L14" s="58">
        <f>+'Plan Financiero'!O71</f>
        <v>0</v>
      </c>
      <c r="M14" s="58">
        <f>+'Plan Financiero'!P71</f>
        <v>0</v>
      </c>
      <c r="N14" s="58">
        <f>+'Plan Financiero'!Q71</f>
        <v>0</v>
      </c>
    </row>
    <row r="15" spans="1:14" hidden="1">
      <c r="A15" s="53" t="s">
        <v>1618</v>
      </c>
      <c r="B15" s="53"/>
      <c r="C15" s="110">
        <f>+C9-'Plan Financiero'!F111</f>
        <v>0</v>
      </c>
      <c r="D15" s="110">
        <f>+D9-'Plan Financiero'!G111</f>
        <v>3.637978807091713E-12</v>
      </c>
      <c r="E15" s="110">
        <f>+E9-'Plan Financiero'!H111</f>
        <v>0</v>
      </c>
      <c r="F15" s="110">
        <f>+F9-'Plan Financiero'!I111</f>
        <v>0</v>
      </c>
      <c r="G15" s="110">
        <f>+G9-'Plan Financiero'!J111</f>
        <v>7.2759576141834259E-12</v>
      </c>
      <c r="H15" s="110">
        <f>+H9-'Plan Financiero'!K111</f>
        <v>7.2759576141834259E-12</v>
      </c>
      <c r="I15" s="110">
        <f>+I9-'Plan Financiero'!L111</f>
        <v>0</v>
      </c>
      <c r="J15" s="110">
        <f>+J9-'Plan Financiero'!M111</f>
        <v>7.2759576141834259E-12</v>
      </c>
      <c r="K15" s="110">
        <f>+K9-'Plan Financiero'!N111</f>
        <v>0</v>
      </c>
      <c r="L15" s="110">
        <f>+L9-'Plan Financiero'!O111</f>
        <v>0</v>
      </c>
      <c r="M15" s="110">
        <f>+M9-'Plan Financiero'!P111</f>
        <v>0</v>
      </c>
    </row>
    <row r="17" spans="2:4">
      <c r="B17" s="229"/>
    </row>
    <row r="18" spans="2:4">
      <c r="B18" s="229"/>
    </row>
    <row r="19" spans="2:4">
      <c r="B19" s="229"/>
      <c r="D19" s="229"/>
    </row>
  </sheetData>
  <sheetProtection algorithmName="SHA-512" hashValue="P79yo3achvo8yKrVsmsJ5UcBhx1BVJ3hr4stGABLhgoCNZAy1we1XCz6INRcrHAAsxV++4KGljAbwfHjW9s8UA==" saltValue="DfOWokHq5ywxJ/7JRluaZA==" spinCount="100000" sheet="1" objects="1" scenarios="1"/>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23" activePane="bottomRight" state="frozen"/>
      <selection activeCell="B1" sqref="B1"/>
      <selection pane="topRight" activeCell="D1" sqref="D1"/>
      <selection pane="bottomLeft" activeCell="B5" sqref="B5"/>
      <selection pane="bottomRight" activeCell="C5" sqref="C5"/>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49" t="s">
        <v>1621</v>
      </c>
      <c r="C1" s="249"/>
      <c r="D1" s="80" t="s">
        <v>1500</v>
      </c>
      <c r="E1" s="80"/>
      <c r="F1" s="80"/>
      <c r="G1" s="80"/>
      <c r="H1" s="80"/>
      <c r="I1" s="80"/>
      <c r="J1" s="80"/>
      <c r="K1" s="80"/>
      <c r="L1" s="80"/>
      <c r="M1" s="80"/>
      <c r="N1" s="80"/>
    </row>
    <row r="2" spans="1:14">
      <c r="B2" s="250" t="str">
        <f>Entidad!B10</f>
        <v>CAMPOALEGRE</v>
      </c>
      <c r="C2" s="250"/>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8" t="s">
        <v>1389</v>
      </c>
      <c r="C3" s="248"/>
      <c r="D3" s="251" t="s">
        <v>1533</v>
      </c>
      <c r="E3" s="252"/>
      <c r="F3" s="252"/>
      <c r="G3" s="252"/>
      <c r="H3" s="252"/>
      <c r="I3" s="252"/>
      <c r="J3" s="252"/>
      <c r="K3" s="252"/>
      <c r="L3" s="252"/>
      <c r="M3" s="252"/>
      <c r="N3" s="252"/>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10839.462605999999</v>
      </c>
      <c r="D5" s="63">
        <f t="shared" ref="D5:M5" si="1">D6-D7</f>
        <v>11560.09829097</v>
      </c>
      <c r="E5" s="63">
        <f t="shared" si="1"/>
        <v>11906.9012396991</v>
      </c>
      <c r="F5" s="63">
        <f t="shared" si="1"/>
        <v>12264.108276890074</v>
      </c>
      <c r="G5" s="63">
        <f t="shared" si="1"/>
        <v>12632.031525196777</v>
      </c>
      <c r="H5" s="63">
        <f t="shared" si="1"/>
        <v>13010.99247095268</v>
      </c>
      <c r="I5" s="63">
        <f t="shared" si="1"/>
        <v>13401.322245081261</v>
      </c>
      <c r="J5" s="63">
        <f t="shared" si="1"/>
        <v>13803.361912433698</v>
      </c>
      <c r="K5" s="63">
        <f t="shared" si="1"/>
        <v>14217.462769806709</v>
      </c>
      <c r="L5" s="63">
        <f t="shared" si="1"/>
        <v>14643.98665290091</v>
      </c>
      <c r="M5" s="63">
        <f t="shared" si="1"/>
        <v>15083.306252487939</v>
      </c>
      <c r="N5" s="63">
        <f t="shared" ref="N5" si="2">N6-N7</f>
        <v>15535.805440062577</v>
      </c>
    </row>
    <row r="6" spans="1:14">
      <c r="A6" s="61" t="s">
        <v>1504</v>
      </c>
      <c r="B6" s="62" t="s">
        <v>1524</v>
      </c>
      <c r="C6" s="63">
        <f>IFERROR(VLOOKUP(Entidad!$B$12&amp;"-"&amp;'Capacidad de Endeudamiento'!$A6,DAF_Ley358!$A$2:$G$212,7,FALSE),0)</f>
        <v>11223.396398999999</v>
      </c>
      <c r="D6" s="63">
        <f>+C6*(1+D2)</f>
        <v>11560.09829097</v>
      </c>
      <c r="E6" s="63">
        <f t="shared" ref="E6:N6" si="3">+D6*(1+E2)</f>
        <v>11906.9012396991</v>
      </c>
      <c r="F6" s="63">
        <f t="shared" si="3"/>
        <v>12264.108276890074</v>
      </c>
      <c r="G6" s="63">
        <f t="shared" si="3"/>
        <v>12632.031525196777</v>
      </c>
      <c r="H6" s="63">
        <f t="shared" si="3"/>
        <v>13010.99247095268</v>
      </c>
      <c r="I6" s="63">
        <f t="shared" si="3"/>
        <v>13401.322245081261</v>
      </c>
      <c r="J6" s="63">
        <f t="shared" si="3"/>
        <v>13803.361912433698</v>
      </c>
      <c r="K6" s="63">
        <f t="shared" si="3"/>
        <v>14217.462769806709</v>
      </c>
      <c r="L6" s="63">
        <f t="shared" si="3"/>
        <v>14643.98665290091</v>
      </c>
      <c r="M6" s="63">
        <f t="shared" si="3"/>
        <v>15083.306252487939</v>
      </c>
      <c r="N6" s="63">
        <f t="shared" si="3"/>
        <v>15535.805440062577</v>
      </c>
    </row>
    <row r="7" spans="1:14">
      <c r="A7" s="61" t="s">
        <v>1506</v>
      </c>
      <c r="B7" s="62" t="s">
        <v>1525</v>
      </c>
      <c r="C7" s="63">
        <f>IFERROR(VLOOKUP(Entidad!$B$12&amp;"-"&amp;'Capacidad de Endeudamiento'!$A7,DAF_Ley358!$A$2:$G$212,7,FALSE),0)</f>
        <v>383.93379299999998</v>
      </c>
      <c r="D7" s="88"/>
      <c r="E7" s="88"/>
      <c r="F7" s="88"/>
      <c r="G7" s="88"/>
      <c r="H7" s="88"/>
      <c r="I7" s="88"/>
      <c r="J7" s="88"/>
      <c r="K7" s="88"/>
      <c r="L7" s="88"/>
      <c r="M7" s="88"/>
      <c r="N7" s="88"/>
    </row>
    <row r="8" spans="1:14">
      <c r="A8" s="61" t="s">
        <v>1508</v>
      </c>
      <c r="B8" s="62" t="s">
        <v>1509</v>
      </c>
      <c r="C8" s="63">
        <f>IFERROR(VLOOKUP(Entidad!$B$12&amp;"-"&amp;'Capacidad de Endeudamiento'!$A8,DAF_Ley358!$A$2:$G$212,7,FALSE),0)</f>
        <v>4769.3105580000001</v>
      </c>
      <c r="D8" s="63">
        <f>+C8*(1+D2)</f>
        <v>4912.3898747399999</v>
      </c>
      <c r="E8" s="63">
        <f t="shared" ref="E8:N8" si="4">+D8*(1+E2)</f>
        <v>5059.7615709822003</v>
      </c>
      <c r="F8" s="63">
        <f t="shared" si="4"/>
        <v>5211.5544181116666</v>
      </c>
      <c r="G8" s="63">
        <f t="shared" si="4"/>
        <v>5367.9010506550167</v>
      </c>
      <c r="H8" s="63">
        <f t="shared" si="4"/>
        <v>5528.9380821746672</v>
      </c>
      <c r="I8" s="63">
        <f t="shared" si="4"/>
        <v>5694.8062246399077</v>
      </c>
      <c r="J8" s="63">
        <f t="shared" si="4"/>
        <v>5865.6504113791052</v>
      </c>
      <c r="K8" s="63">
        <f t="shared" si="4"/>
        <v>6041.6199237204783</v>
      </c>
      <c r="L8" s="63">
        <f t="shared" si="4"/>
        <v>6222.8685214320931</v>
      </c>
      <c r="M8" s="63">
        <f t="shared" si="4"/>
        <v>6409.5545770750559</v>
      </c>
      <c r="N8" s="63">
        <f t="shared" si="4"/>
        <v>6601.8412143873074</v>
      </c>
    </row>
    <row r="9" spans="1:14">
      <c r="A9" s="61"/>
      <c r="B9" s="62" t="s">
        <v>1531</v>
      </c>
      <c r="C9" s="63">
        <f>C5-C8</f>
        <v>6070.152047999999</v>
      </c>
      <c r="D9" s="63">
        <f t="shared" ref="D9:M9" si="5">D5-D8</f>
        <v>6647.7084162299998</v>
      </c>
      <c r="E9" s="63">
        <f t="shared" si="5"/>
        <v>6847.1396687168999</v>
      </c>
      <c r="F9" s="63">
        <f t="shared" si="5"/>
        <v>7052.5538587784076</v>
      </c>
      <c r="G9" s="63">
        <f t="shared" si="5"/>
        <v>7264.1304745417601</v>
      </c>
      <c r="H9" s="63">
        <f t="shared" si="5"/>
        <v>7482.0543887780132</v>
      </c>
      <c r="I9" s="63">
        <f t="shared" si="5"/>
        <v>7706.5160204413532</v>
      </c>
      <c r="J9" s="63">
        <f t="shared" si="5"/>
        <v>7937.7115010545931</v>
      </c>
      <c r="K9" s="63">
        <f t="shared" si="5"/>
        <v>8175.8428460862306</v>
      </c>
      <c r="L9" s="63">
        <f t="shared" si="5"/>
        <v>8421.1181314688183</v>
      </c>
      <c r="M9" s="63">
        <f t="shared" si="5"/>
        <v>8673.7516754128828</v>
      </c>
      <c r="N9" s="63">
        <f t="shared" ref="N9" si="6">N5-N8</f>
        <v>8933.9642256752704</v>
      </c>
    </row>
    <row r="10" spans="1:14">
      <c r="A10" s="61"/>
      <c r="B10" s="77" t="s">
        <v>1526</v>
      </c>
      <c r="C10" s="78">
        <f t="shared" ref="C10:M10" si="7">C11-C16-C20+C21</f>
        <v>2776.0600169999998</v>
      </c>
      <c r="D10" s="81">
        <f t="shared" si="7"/>
        <v>2776.0600169999998</v>
      </c>
      <c r="E10" s="82">
        <f t="shared" si="7"/>
        <v>2776.0600169999998</v>
      </c>
      <c r="F10" s="83">
        <f t="shared" si="7"/>
        <v>2776.0600169999998</v>
      </c>
      <c r="G10" s="84">
        <f t="shared" si="7"/>
        <v>2776.0600169999998</v>
      </c>
      <c r="H10" s="81">
        <f t="shared" si="7"/>
        <v>2776.0600169999998</v>
      </c>
      <c r="I10" s="85">
        <f t="shared" si="7"/>
        <v>2776.0600169999998</v>
      </c>
      <c r="J10" s="86">
        <f t="shared" si="7"/>
        <v>2776.0600169999998</v>
      </c>
      <c r="K10" s="79">
        <f t="shared" si="7"/>
        <v>2776.0600169999998</v>
      </c>
      <c r="L10" s="87">
        <f t="shared" si="7"/>
        <v>2776.0600169999998</v>
      </c>
      <c r="M10" s="63">
        <f t="shared" si="7"/>
        <v>2776.0600169999998</v>
      </c>
      <c r="N10" s="63">
        <f t="shared" ref="N10" si="8">N11-N16-N20+N21</f>
        <v>2776.0600169999998</v>
      </c>
    </row>
    <row r="11" spans="1:14">
      <c r="A11" s="61"/>
      <c r="B11" s="62" t="s">
        <v>1541</v>
      </c>
      <c r="C11" s="63">
        <f>C12-C13+C14+C15</f>
        <v>3625.2910149999998</v>
      </c>
      <c r="D11" s="63">
        <f t="shared" ref="D11:M11" si="9">D12-D13+D14+D15</f>
        <v>2776.0600169999998</v>
      </c>
      <c r="E11" s="63">
        <f t="shared" si="9"/>
        <v>2776.0600169999998</v>
      </c>
      <c r="F11" s="63">
        <f t="shared" si="9"/>
        <v>2776.0600169999998</v>
      </c>
      <c r="G11" s="63">
        <f t="shared" si="9"/>
        <v>2776.0600169999998</v>
      </c>
      <c r="H11" s="63">
        <f t="shared" si="9"/>
        <v>2776.0600169999998</v>
      </c>
      <c r="I11" s="63">
        <f t="shared" si="9"/>
        <v>2776.0600169999998</v>
      </c>
      <c r="J11" s="63">
        <f t="shared" si="9"/>
        <v>2776.0600169999998</v>
      </c>
      <c r="K11" s="63">
        <f t="shared" si="9"/>
        <v>2776.0600169999998</v>
      </c>
      <c r="L11" s="63">
        <f t="shared" si="9"/>
        <v>2776.0600169999998</v>
      </c>
      <c r="M11" s="63">
        <f t="shared" si="9"/>
        <v>2776.0600169999998</v>
      </c>
      <c r="N11" s="63">
        <f t="shared" ref="N11" si="10">N12-N13+N14+N15</f>
        <v>2776.0600169999998</v>
      </c>
    </row>
    <row r="12" spans="1:14">
      <c r="A12" s="61" t="s">
        <v>1510</v>
      </c>
      <c r="B12" s="64" t="s">
        <v>1544</v>
      </c>
      <c r="C12" s="88">
        <f>IFERROR(VLOOKUP(Entidad!$B$12&amp;"-"&amp;'Capacidad de Endeudamiento'!$A12,DAF_Ley358!$A$2:$G$212,7,FALSE),0)</f>
        <v>3625.2910149999998</v>
      </c>
      <c r="D12" s="78">
        <f>+C10</f>
        <v>2776.0600169999998</v>
      </c>
      <c r="E12" s="81">
        <f t="shared" ref="E12:N12" si="11">+D10</f>
        <v>2776.0600169999998</v>
      </c>
      <c r="F12" s="82">
        <f t="shared" si="11"/>
        <v>2776.0600169999998</v>
      </c>
      <c r="G12" s="83">
        <f t="shared" si="11"/>
        <v>2776.0600169999998</v>
      </c>
      <c r="H12" s="84">
        <f t="shared" si="11"/>
        <v>2776.0600169999998</v>
      </c>
      <c r="I12" s="81">
        <f t="shared" si="11"/>
        <v>2776.0600169999998</v>
      </c>
      <c r="J12" s="85">
        <f t="shared" si="11"/>
        <v>2776.0600169999998</v>
      </c>
      <c r="K12" s="86">
        <f t="shared" si="11"/>
        <v>2776.0600169999998</v>
      </c>
      <c r="L12" s="79">
        <f t="shared" si="11"/>
        <v>2776.0600169999998</v>
      </c>
      <c r="M12" s="87">
        <f t="shared" si="11"/>
        <v>2776.0600169999998</v>
      </c>
      <c r="N12" s="87">
        <f t="shared" si="11"/>
        <v>2776.0600169999998</v>
      </c>
    </row>
    <row r="13" spans="1:14">
      <c r="A13" s="61" t="s">
        <v>1517</v>
      </c>
      <c r="B13" s="64" t="s">
        <v>1534</v>
      </c>
      <c r="C13" s="88">
        <f>IFERROR(VLOOKUP(Entidad!$B$12&amp;"-"&amp;'Capacidad de Endeudamiento'!$A13,DAF_Ley358!$A$2:$G$212,7,FALSE),0)</f>
        <v>0</v>
      </c>
      <c r="D13" s="88"/>
      <c r="E13" s="88"/>
      <c r="F13" s="88"/>
      <c r="G13" s="88"/>
      <c r="H13" s="88"/>
      <c r="I13" s="88"/>
      <c r="J13" s="88"/>
      <c r="K13" s="88"/>
      <c r="L13" s="88"/>
      <c r="M13" s="88"/>
      <c r="N13" s="88"/>
    </row>
    <row r="14" spans="1:14">
      <c r="A14" s="61"/>
      <c r="B14" s="64" t="s">
        <v>1536</v>
      </c>
      <c r="C14" s="88"/>
      <c r="D14" s="88"/>
      <c r="E14" s="88"/>
      <c r="F14" s="88"/>
      <c r="G14" s="88"/>
      <c r="H14" s="88"/>
      <c r="I14" s="88"/>
      <c r="J14" s="88"/>
      <c r="K14" s="88"/>
      <c r="L14" s="88"/>
      <c r="M14" s="88"/>
      <c r="N14" s="88"/>
    </row>
    <row r="15" spans="1:14">
      <c r="A15" s="61"/>
      <c r="B15" s="64" t="s">
        <v>1537</v>
      </c>
      <c r="C15" s="88"/>
      <c r="D15" s="88"/>
      <c r="E15" s="88"/>
      <c r="F15" s="88"/>
      <c r="G15" s="88"/>
      <c r="H15" s="88"/>
      <c r="I15" s="88"/>
      <c r="J15" s="88"/>
      <c r="K15" s="88"/>
      <c r="L15" s="88"/>
      <c r="M15" s="88"/>
      <c r="N15" s="88"/>
    </row>
    <row r="16" spans="1:14">
      <c r="A16" s="61"/>
      <c r="B16" s="62" t="s">
        <v>1542</v>
      </c>
      <c r="C16" s="63">
        <f>C17-C18+C19</f>
        <v>849.230998</v>
      </c>
      <c r="D16" s="63">
        <f t="shared" ref="D16:N16" si="12">D17-D18+D19</f>
        <v>0</v>
      </c>
      <c r="E16" s="63">
        <f t="shared" si="12"/>
        <v>0</v>
      </c>
      <c r="F16" s="63">
        <f t="shared" si="12"/>
        <v>0</v>
      </c>
      <c r="G16" s="63">
        <f t="shared" si="12"/>
        <v>0</v>
      </c>
      <c r="H16" s="63">
        <f t="shared" si="12"/>
        <v>0</v>
      </c>
      <c r="I16" s="63">
        <f t="shared" si="12"/>
        <v>0</v>
      </c>
      <c r="J16" s="63">
        <f t="shared" si="12"/>
        <v>0</v>
      </c>
      <c r="K16" s="63">
        <f t="shared" si="12"/>
        <v>0</v>
      </c>
      <c r="L16" s="63">
        <f t="shared" si="12"/>
        <v>0</v>
      </c>
      <c r="M16" s="63">
        <f t="shared" si="12"/>
        <v>0</v>
      </c>
      <c r="N16" s="63">
        <f t="shared" si="12"/>
        <v>0</v>
      </c>
    </row>
    <row r="17" spans="1:14">
      <c r="A17" s="61" t="s">
        <v>1512</v>
      </c>
      <c r="B17" s="64" t="s">
        <v>1535</v>
      </c>
      <c r="C17" s="88">
        <f>IFERROR(VLOOKUP(Entidad!$B$12&amp;"-"&amp;'Capacidad de Endeudamiento'!$A17,DAF_Ley358!$A$2:$G$212,7,FALSE),0)</f>
        <v>849.230998</v>
      </c>
      <c r="D17" s="88"/>
      <c r="E17" s="88"/>
      <c r="F17" s="88"/>
      <c r="G17" s="88"/>
      <c r="H17" s="88"/>
      <c r="I17" s="88"/>
      <c r="J17" s="88"/>
      <c r="K17" s="88"/>
      <c r="L17" s="88"/>
      <c r="M17" s="88"/>
      <c r="N17" s="88"/>
    </row>
    <row r="18" spans="1:14">
      <c r="A18" s="61" t="s">
        <v>1519</v>
      </c>
      <c r="B18" s="64" t="s">
        <v>1527</v>
      </c>
      <c r="C18" s="88">
        <f>IFERROR(VLOOKUP(Entidad!$B$12&amp;"-"&amp;'Capacidad de Endeudamiento'!$A18,DAF_Ley358!$A$2:$G$212,7,FALSE),0)</f>
        <v>0</v>
      </c>
      <c r="D18" s="88"/>
      <c r="E18" s="88"/>
      <c r="F18" s="88"/>
      <c r="G18" s="88"/>
      <c r="H18" s="88"/>
      <c r="I18" s="88"/>
      <c r="J18" s="88"/>
      <c r="K18" s="88"/>
      <c r="L18" s="88"/>
      <c r="M18" s="88"/>
      <c r="N18" s="88"/>
    </row>
    <row r="19" spans="1:14">
      <c r="A19" s="61"/>
      <c r="B19" s="64" t="s">
        <v>1538</v>
      </c>
      <c r="C19" s="88"/>
      <c r="D19" s="88"/>
      <c r="E19" s="88"/>
      <c r="F19" s="88"/>
      <c r="G19" s="88"/>
      <c r="H19" s="88"/>
      <c r="I19" s="88"/>
      <c r="J19" s="88"/>
      <c r="K19" s="88"/>
      <c r="L19" s="88"/>
      <c r="M19" s="88"/>
      <c r="N19" s="88"/>
    </row>
    <row r="20" spans="1:14">
      <c r="A20" s="61" t="s">
        <v>1514</v>
      </c>
      <c r="B20" s="62" t="s">
        <v>1528</v>
      </c>
      <c r="C20" s="88">
        <f>IFERROR(VLOOKUP(Entidad!$B$12&amp;"-"&amp;'Capacidad de Endeudamiento'!$A20,DAF_Ley358!$A$2:$G$212,7,FALSE),0)</f>
        <v>0</v>
      </c>
      <c r="D20" s="88"/>
      <c r="E20" s="88"/>
      <c r="F20" s="88"/>
      <c r="G20" s="88"/>
      <c r="H20" s="88"/>
      <c r="I20" s="88"/>
      <c r="J20" s="88"/>
      <c r="K20" s="88"/>
      <c r="L20" s="88"/>
      <c r="M20" s="88"/>
      <c r="N20" s="88"/>
    </row>
    <row r="21" spans="1:14">
      <c r="A21" s="61" t="s">
        <v>1523</v>
      </c>
      <c r="B21" s="62" t="s">
        <v>1529</v>
      </c>
      <c r="C21" s="88">
        <f>IFERROR(VLOOKUP(Entidad!$B$12&amp;"-"&amp;'Capacidad de Endeudamiento'!$A21,DAF_Ley358!$A$2:$G$212,7,FALSE),0)</f>
        <v>0</v>
      </c>
      <c r="D21" s="88"/>
      <c r="E21" s="88"/>
      <c r="F21" s="88"/>
      <c r="G21" s="88"/>
      <c r="H21" s="88"/>
      <c r="I21" s="88"/>
      <c r="J21" s="88"/>
      <c r="K21" s="88"/>
      <c r="L21" s="88"/>
      <c r="M21" s="88"/>
      <c r="N21" s="88"/>
    </row>
    <row r="22" spans="1:14">
      <c r="A22" s="61"/>
      <c r="B22" s="62" t="s">
        <v>1543</v>
      </c>
      <c r="C22" s="63">
        <f>C23-C24+C25</f>
        <v>215.534031</v>
      </c>
      <c r="D22" s="63">
        <f t="shared" ref="D22:N22" si="13">D23-D24+D25</f>
        <v>0</v>
      </c>
      <c r="E22" s="63">
        <f t="shared" si="13"/>
        <v>0</v>
      </c>
      <c r="F22" s="63">
        <f t="shared" si="13"/>
        <v>0</v>
      </c>
      <c r="G22" s="63">
        <f t="shared" si="13"/>
        <v>0</v>
      </c>
      <c r="H22" s="63">
        <f t="shared" si="13"/>
        <v>0</v>
      </c>
      <c r="I22" s="63">
        <f t="shared" si="13"/>
        <v>0</v>
      </c>
      <c r="J22" s="63">
        <f t="shared" si="13"/>
        <v>0</v>
      </c>
      <c r="K22" s="63">
        <f t="shared" si="13"/>
        <v>0</v>
      </c>
      <c r="L22" s="63">
        <f t="shared" si="13"/>
        <v>0</v>
      </c>
      <c r="M22" s="63">
        <f t="shared" si="13"/>
        <v>0</v>
      </c>
      <c r="N22" s="63">
        <f t="shared" si="13"/>
        <v>0</v>
      </c>
    </row>
    <row r="23" spans="1:14">
      <c r="A23" s="61" t="s">
        <v>1515</v>
      </c>
      <c r="B23" s="64" t="s">
        <v>1540</v>
      </c>
      <c r="C23" s="88">
        <f>IFERROR(VLOOKUP(Entidad!$B$12&amp;"-"&amp;'Capacidad de Endeudamiento'!$A23,DAF_Ley358!$A$2:$G$212,7,FALSE),0)</f>
        <v>215.534031</v>
      </c>
      <c r="D23" s="88"/>
      <c r="E23" s="88"/>
      <c r="F23" s="88"/>
      <c r="G23" s="88"/>
      <c r="H23" s="88"/>
      <c r="I23" s="88"/>
      <c r="J23" s="88"/>
      <c r="K23" s="88"/>
      <c r="L23" s="88"/>
      <c r="M23" s="88"/>
      <c r="N23" s="88"/>
    </row>
    <row r="24" spans="1:14">
      <c r="A24" s="61" t="s">
        <v>1521</v>
      </c>
      <c r="B24" s="64" t="s">
        <v>1522</v>
      </c>
      <c r="C24" s="88">
        <f>IFERROR(VLOOKUP(Entidad!$B$12&amp;"-"&amp;'Capacidad de Endeudamiento'!$A24,DAF_Ley358!$A$2:$G$212,7,FALSE),0)</f>
        <v>0</v>
      </c>
      <c r="D24" s="88"/>
      <c r="E24" s="88"/>
      <c r="F24" s="88"/>
      <c r="G24" s="88"/>
      <c r="H24" s="88"/>
      <c r="I24" s="88"/>
      <c r="J24" s="88"/>
      <c r="K24" s="88"/>
      <c r="L24" s="88"/>
      <c r="M24" s="88"/>
      <c r="N24" s="88"/>
    </row>
    <row r="25" spans="1:14">
      <c r="A25" s="61"/>
      <c r="B25" s="64" t="s">
        <v>1539</v>
      </c>
      <c r="C25" s="88"/>
      <c r="D25" s="88"/>
      <c r="E25" s="88"/>
      <c r="F25" s="88"/>
      <c r="G25" s="88"/>
      <c r="H25" s="88"/>
      <c r="I25" s="88"/>
      <c r="J25" s="88"/>
      <c r="K25" s="88"/>
      <c r="L25" s="88"/>
      <c r="M25" s="88"/>
      <c r="N25" s="88"/>
    </row>
    <row r="26" spans="1:14">
      <c r="A26" s="61"/>
      <c r="B26" s="65" t="s">
        <v>1622</v>
      </c>
      <c r="C26" s="66">
        <f>(C22/C9)</f>
        <v>3.550718817183738E-2</v>
      </c>
      <c r="D26" s="66">
        <f t="shared" ref="D26:M26" si="14">D22/D9</f>
        <v>0</v>
      </c>
      <c r="E26" s="66">
        <f t="shared" si="14"/>
        <v>0</v>
      </c>
      <c r="F26" s="66">
        <f t="shared" si="14"/>
        <v>0</v>
      </c>
      <c r="G26" s="66">
        <f t="shared" si="14"/>
        <v>0</v>
      </c>
      <c r="H26" s="66">
        <f t="shared" si="14"/>
        <v>0</v>
      </c>
      <c r="I26" s="66">
        <f t="shared" si="14"/>
        <v>0</v>
      </c>
      <c r="J26" s="66">
        <f t="shared" si="14"/>
        <v>0</v>
      </c>
      <c r="K26" s="66">
        <f t="shared" si="14"/>
        <v>0</v>
      </c>
      <c r="L26" s="66">
        <f t="shared" si="14"/>
        <v>0</v>
      </c>
      <c r="M26" s="66">
        <f t="shared" si="14"/>
        <v>0</v>
      </c>
      <c r="N26" s="66">
        <f t="shared" ref="N26" si="15">N22/N9</f>
        <v>0</v>
      </c>
    </row>
    <row r="27" spans="1:14">
      <c r="A27" s="61"/>
      <c r="B27" s="65" t="s">
        <v>1623</v>
      </c>
      <c r="C27" s="66">
        <f>C10/C5</f>
        <v>0.25610679402716507</v>
      </c>
      <c r="D27" s="66">
        <f t="shared" ref="D27:M27" si="16">D10/D5</f>
        <v>0.24014155823990513</v>
      </c>
      <c r="E27" s="66">
        <f t="shared" si="16"/>
        <v>0.23314714392223795</v>
      </c>
      <c r="F27" s="66">
        <f t="shared" si="16"/>
        <v>0.22635645040993976</v>
      </c>
      <c r="G27" s="66">
        <f t="shared" si="16"/>
        <v>0.21976354408732016</v>
      </c>
      <c r="H27" s="66">
        <f t="shared" si="16"/>
        <v>0.21336266416244673</v>
      </c>
      <c r="I27" s="66">
        <f t="shared" si="16"/>
        <v>0.20714821763344343</v>
      </c>
      <c r="J27" s="66">
        <f t="shared" si="16"/>
        <v>0.20111477440140141</v>
      </c>
      <c r="K27" s="66">
        <f t="shared" si="16"/>
        <v>0.19525706252563244</v>
      </c>
      <c r="L27" s="66">
        <f t="shared" si="16"/>
        <v>0.18956996361711886</v>
      </c>
      <c r="M27" s="66">
        <f t="shared" si="16"/>
        <v>0.18404850836613482</v>
      </c>
      <c r="N27" s="66">
        <f t="shared" ref="N27" si="17">N10/N5</f>
        <v>0.17868787220013088</v>
      </c>
    </row>
    <row r="28" spans="1:14">
      <c r="A28" s="61"/>
      <c r="B28" s="65" t="s">
        <v>1530</v>
      </c>
      <c r="C28" s="63" t="str">
        <f>IF(C9&lt;0,"AHORRO NEGATIVO",IF(C27&gt;0.8,"ROJO",IF(C26&gt;0.4,"ROJO","VERDE")))</f>
        <v>VERDE</v>
      </c>
      <c r="D28" s="63" t="str">
        <f t="shared" ref="D28:M28" si="18">IF(D9&lt;0,"AHORRO NEGATIVO",IF(D27&gt;0.8,"ROJO",IF(D26&gt;0.4,"ROJO","VERDE")))</f>
        <v>VERDE</v>
      </c>
      <c r="E28" s="63" t="str">
        <f t="shared" si="18"/>
        <v>VERDE</v>
      </c>
      <c r="F28" s="63" t="str">
        <f t="shared" si="18"/>
        <v>VERDE</v>
      </c>
      <c r="G28" s="63" t="str">
        <f t="shared" si="18"/>
        <v>VERDE</v>
      </c>
      <c r="H28" s="63" t="str">
        <f t="shared" si="18"/>
        <v>VERDE</v>
      </c>
      <c r="I28" s="63" t="str">
        <f t="shared" si="18"/>
        <v>VERDE</v>
      </c>
      <c r="J28" s="63" t="str">
        <f t="shared" si="18"/>
        <v>VERDE</v>
      </c>
      <c r="K28" s="63" t="str">
        <f t="shared" si="18"/>
        <v>VERDE</v>
      </c>
      <c r="L28" s="63" t="str">
        <f t="shared" si="18"/>
        <v>VERDE</v>
      </c>
      <c r="M28" s="63" t="str">
        <f t="shared" si="18"/>
        <v>VERDE</v>
      </c>
      <c r="N28" s="63" t="str">
        <f t="shared" ref="N28" si="19">IF(N9&lt;0,"AHORRO NEGATIVO",IF(N27&gt;0.8,"ROJO",IF(N26&gt;0.4,"ROJO","VERDE")))</f>
        <v>VERDE</v>
      </c>
    </row>
    <row r="29" spans="1:14">
      <c r="A29" s="61"/>
      <c r="B29" s="67" t="s">
        <v>1530</v>
      </c>
      <c r="C29" s="68">
        <f>IF(C28="VERDE",1,0)</f>
        <v>1</v>
      </c>
      <c r="D29" s="68">
        <f t="shared" ref="D29:M29" si="20">IF(D28="VERDE",1,0)</f>
        <v>1</v>
      </c>
      <c r="E29" s="68">
        <f t="shared" si="20"/>
        <v>1</v>
      </c>
      <c r="F29" s="68">
        <f t="shared" si="20"/>
        <v>1</v>
      </c>
      <c r="G29" s="68">
        <f t="shared" si="20"/>
        <v>1</v>
      </c>
      <c r="H29" s="68">
        <f t="shared" si="20"/>
        <v>1</v>
      </c>
      <c r="I29" s="68">
        <f t="shared" si="20"/>
        <v>1</v>
      </c>
      <c r="J29" s="68">
        <f t="shared" si="20"/>
        <v>1</v>
      </c>
      <c r="K29" s="68">
        <f t="shared" si="20"/>
        <v>1</v>
      </c>
      <c r="L29" s="68">
        <f t="shared" si="20"/>
        <v>1</v>
      </c>
      <c r="M29" s="68">
        <f t="shared" si="20"/>
        <v>1</v>
      </c>
      <c r="N29" s="68">
        <f t="shared" ref="N29" si="21">IF(N28="VERDE",1,0)</f>
        <v>1</v>
      </c>
    </row>
    <row r="31" spans="1:14">
      <c r="B31" s="112" t="s">
        <v>1629</v>
      </c>
      <c r="C31" s="113">
        <f t="shared" ref="C31:M31" si="22">+C38/C9</f>
        <v>6.1818014607168868E-2</v>
      </c>
      <c r="D31" s="113">
        <f t="shared" si="22"/>
        <v>0</v>
      </c>
      <c r="E31" s="113">
        <f t="shared" si="22"/>
        <v>0</v>
      </c>
      <c r="F31" s="113">
        <f t="shared" si="22"/>
        <v>0</v>
      </c>
      <c r="G31" s="113">
        <f t="shared" si="22"/>
        <v>0</v>
      </c>
      <c r="H31" s="113">
        <f t="shared" si="22"/>
        <v>0</v>
      </c>
      <c r="I31" s="113">
        <f t="shared" si="22"/>
        <v>0</v>
      </c>
      <c r="J31" s="113">
        <f t="shared" si="22"/>
        <v>0</v>
      </c>
      <c r="K31" s="113">
        <f t="shared" si="22"/>
        <v>0</v>
      </c>
      <c r="L31" s="113">
        <f t="shared" si="22"/>
        <v>0</v>
      </c>
      <c r="M31" s="113">
        <f t="shared" si="22"/>
        <v>0</v>
      </c>
      <c r="N31" s="113">
        <f t="shared" ref="N31" si="23">+N38/N9</f>
        <v>0</v>
      </c>
    </row>
    <row r="32" spans="1:14">
      <c r="B32" s="112" t="s">
        <v>1640</v>
      </c>
      <c r="C32" s="113">
        <f t="shared" ref="C32:M32" si="24">+C51/C5</f>
        <v>0</v>
      </c>
      <c r="D32" s="113">
        <f t="shared" si="24"/>
        <v>0</v>
      </c>
      <c r="E32" s="113">
        <f t="shared" si="24"/>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1" t="s">
        <v>1625</v>
      </c>
      <c r="C35" s="143">
        <f>+C22/IFERROR(VLOOKUP(Entidad!$B$12,DAF_SaldoDeuda!$B$2:$D$681,3,FALSE),0)</f>
        <v>5.9452891092053019E-2</v>
      </c>
      <c r="D35" s="135">
        <f>+D22/C10</f>
        <v>0</v>
      </c>
      <c r="E35" s="135">
        <f t="shared" ref="E35:N35" si="27">+E22/D10</f>
        <v>0</v>
      </c>
      <c r="F35" s="135">
        <f t="shared" si="27"/>
        <v>0</v>
      </c>
      <c r="G35" s="135">
        <f t="shared" si="27"/>
        <v>0</v>
      </c>
      <c r="H35" s="135">
        <f t="shared" si="27"/>
        <v>0</v>
      </c>
      <c r="I35" s="135">
        <f t="shared" si="27"/>
        <v>0</v>
      </c>
      <c r="J35" s="135">
        <f t="shared" si="27"/>
        <v>0</v>
      </c>
      <c r="K35" s="135">
        <f t="shared" si="27"/>
        <v>0</v>
      </c>
      <c r="L35" s="135">
        <f t="shared" si="27"/>
        <v>0</v>
      </c>
      <c r="M35" s="135">
        <f t="shared" si="27"/>
        <v>0</v>
      </c>
      <c r="N35" s="135">
        <f t="shared" si="27"/>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0.10350748339126431</v>
      </c>
      <c r="D37" s="134">
        <f t="shared" ref="D37:M37" si="28">D35*(1+D36)</f>
        <v>0</v>
      </c>
      <c r="E37" s="134">
        <f t="shared" si="28"/>
        <v>0</v>
      </c>
      <c r="F37" s="134">
        <f t="shared" si="28"/>
        <v>0</v>
      </c>
      <c r="G37" s="134">
        <f t="shared" si="28"/>
        <v>0</v>
      </c>
      <c r="H37" s="134">
        <f t="shared" si="28"/>
        <v>0</v>
      </c>
      <c r="I37" s="134">
        <f t="shared" si="28"/>
        <v>0</v>
      </c>
      <c r="J37" s="134">
        <f t="shared" si="28"/>
        <v>0</v>
      </c>
      <c r="K37" s="134">
        <f t="shared" si="28"/>
        <v>0</v>
      </c>
      <c r="L37" s="134">
        <f t="shared" si="28"/>
        <v>0</v>
      </c>
      <c r="M37" s="134">
        <f t="shared" si="28"/>
        <v>0</v>
      </c>
      <c r="N37" s="134">
        <f t="shared" ref="N37" si="29">N35*(1+N36)</f>
        <v>0</v>
      </c>
    </row>
    <row r="38" spans="2:14">
      <c r="B38" s="111" t="s">
        <v>1628</v>
      </c>
      <c r="C38" s="144">
        <f>IFERROR(VLOOKUP(Entidad!$B$12,DAF_SaldoDeuda!$B$2:$D$681,3,FALSE),0)*'Capacidad de Endeudamiento'!C37</f>
        <v>375.24474797099998</v>
      </c>
      <c r="D38" s="137">
        <f>+C10*D37</f>
        <v>0</v>
      </c>
      <c r="E38" s="137">
        <f t="shared" ref="E38:N38" si="30">+D10*E37</f>
        <v>0</v>
      </c>
      <c r="F38" s="137">
        <f t="shared" si="30"/>
        <v>0</v>
      </c>
      <c r="G38" s="137">
        <f t="shared" si="30"/>
        <v>0</v>
      </c>
      <c r="H38" s="137">
        <f t="shared" si="30"/>
        <v>0</v>
      </c>
      <c r="I38" s="137">
        <f t="shared" si="30"/>
        <v>0</v>
      </c>
      <c r="J38" s="137">
        <f t="shared" si="30"/>
        <v>0</v>
      </c>
      <c r="K38" s="137">
        <f t="shared" si="30"/>
        <v>0</v>
      </c>
      <c r="L38" s="137">
        <f t="shared" si="30"/>
        <v>0</v>
      </c>
      <c r="M38" s="137">
        <f t="shared" si="30"/>
        <v>0</v>
      </c>
      <c r="N38" s="137">
        <f t="shared" si="30"/>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c r="D44" s="139"/>
      <c r="E44" s="139"/>
      <c r="F44" s="139"/>
      <c r="G44" s="139"/>
      <c r="H44" s="139"/>
      <c r="I44" s="139"/>
      <c r="J44" s="139"/>
      <c r="K44" s="139"/>
      <c r="L44" s="139"/>
      <c r="M44" s="139"/>
      <c r="N44" s="139"/>
    </row>
    <row r="45" spans="2:14">
      <c r="B45" s="111" t="s">
        <v>1633</v>
      </c>
      <c r="C45" s="137">
        <f>+C43+C44</f>
        <v>0</v>
      </c>
      <c r="D45" s="137">
        <f t="shared" ref="D45:M45" si="31">+D43+D44</f>
        <v>0</v>
      </c>
      <c r="E45" s="137">
        <f t="shared" si="31"/>
        <v>0</v>
      </c>
      <c r="F45" s="137">
        <f t="shared" si="31"/>
        <v>0</v>
      </c>
      <c r="G45" s="137">
        <f t="shared" si="31"/>
        <v>0</v>
      </c>
      <c r="H45" s="137">
        <f t="shared" si="31"/>
        <v>0</v>
      </c>
      <c r="I45" s="137">
        <f t="shared" si="31"/>
        <v>0</v>
      </c>
      <c r="J45" s="137">
        <f t="shared" si="31"/>
        <v>0</v>
      </c>
      <c r="K45" s="137">
        <f t="shared" si="31"/>
        <v>0</v>
      </c>
      <c r="L45" s="137">
        <f t="shared" si="31"/>
        <v>0</v>
      </c>
      <c r="M45" s="137">
        <f t="shared" si="31"/>
        <v>0</v>
      </c>
      <c r="N45" s="137">
        <f t="shared" ref="N45" si="32">+N43+N44</f>
        <v>0</v>
      </c>
    </row>
    <row r="46" spans="2:14">
      <c r="B46" s="111" t="s">
        <v>1634</v>
      </c>
      <c r="C46" s="137">
        <f t="shared" ref="C46:M46" si="33">+C11-C45</f>
        <v>3625.2910149999998</v>
      </c>
      <c r="D46" s="137">
        <f t="shared" si="33"/>
        <v>2776.0600169999998</v>
      </c>
      <c r="E46" s="137">
        <f t="shared" si="33"/>
        <v>2776.0600169999998</v>
      </c>
      <c r="F46" s="137">
        <f t="shared" si="33"/>
        <v>2776.0600169999998</v>
      </c>
      <c r="G46" s="137">
        <f t="shared" si="33"/>
        <v>2776.0600169999998</v>
      </c>
      <c r="H46" s="137">
        <f t="shared" si="33"/>
        <v>2776.0600169999998</v>
      </c>
      <c r="I46" s="137">
        <f t="shared" si="33"/>
        <v>2776.0600169999998</v>
      </c>
      <c r="J46" s="137">
        <f t="shared" si="33"/>
        <v>2776.0600169999998</v>
      </c>
      <c r="K46" s="137">
        <f t="shared" si="33"/>
        <v>2776.0600169999998</v>
      </c>
      <c r="L46" s="137">
        <f t="shared" si="33"/>
        <v>2776.0600169999998</v>
      </c>
      <c r="M46" s="137">
        <f t="shared" si="33"/>
        <v>2776.0600169999998</v>
      </c>
      <c r="N46" s="137">
        <f t="shared" ref="N46" si="34">+N11-N45</f>
        <v>2776.0600169999998</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5">D41*(1+D48)</f>
        <v>3205.611394441185</v>
      </c>
      <c r="E49" s="140">
        <f t="shared" si="35"/>
        <v>3288.1439330287067</v>
      </c>
      <c r="F49" s="140">
        <f t="shared" si="35"/>
        <v>3272.6130011347846</v>
      </c>
      <c r="G49" s="140">
        <f t="shared" si="35"/>
        <v>3231.68838380634</v>
      </c>
      <c r="H49" s="140">
        <f t="shared" si="35"/>
        <v>3237.0368415817161</v>
      </c>
      <c r="I49" s="140">
        <f t="shared" si="35"/>
        <v>3247.6282275220206</v>
      </c>
      <c r="J49" s="140">
        <f t="shared" si="35"/>
        <v>3257.8498245497644</v>
      </c>
      <c r="K49" s="140">
        <f t="shared" si="35"/>
        <v>3274.1995638420494</v>
      </c>
      <c r="L49" s="140">
        <f t="shared" si="35"/>
        <v>3292.1367031371792</v>
      </c>
      <c r="M49" s="140">
        <f t="shared" si="35"/>
        <v>3310.7646154095751</v>
      </c>
      <c r="N49" s="140">
        <f t="shared" ref="N49" si="36">N41*(1+N48)</f>
        <v>3330.0330688808958</v>
      </c>
    </row>
    <row r="50" spans="2:14">
      <c r="B50" s="111" t="s">
        <v>1637</v>
      </c>
      <c r="C50" s="140">
        <f>(+C43/C41)*C49</f>
        <v>0</v>
      </c>
      <c r="D50" s="140">
        <f t="shared" ref="D50:M50" si="37">(+D43/D41)*D49</f>
        <v>0</v>
      </c>
      <c r="E50" s="140">
        <f t="shared" si="37"/>
        <v>0</v>
      </c>
      <c r="F50" s="140">
        <f t="shared" si="37"/>
        <v>0</v>
      </c>
      <c r="G50" s="140">
        <f t="shared" si="37"/>
        <v>0</v>
      </c>
      <c r="H50" s="140">
        <f t="shared" si="37"/>
        <v>0</v>
      </c>
      <c r="I50" s="140">
        <f t="shared" si="37"/>
        <v>0</v>
      </c>
      <c r="J50" s="140">
        <f t="shared" si="37"/>
        <v>0</v>
      </c>
      <c r="K50" s="140">
        <f t="shared" si="37"/>
        <v>0</v>
      </c>
      <c r="L50" s="140">
        <f t="shared" si="37"/>
        <v>0</v>
      </c>
      <c r="M50" s="140">
        <f t="shared" si="37"/>
        <v>0</v>
      </c>
      <c r="N50" s="140">
        <f t="shared" ref="N50" si="38">(+N43/N41)*N49</f>
        <v>0</v>
      </c>
    </row>
    <row r="51" spans="2:14">
      <c r="B51" s="111" t="s">
        <v>1638</v>
      </c>
      <c r="C51" s="140">
        <f>+C44+C50</f>
        <v>0</v>
      </c>
      <c r="D51" s="140">
        <f t="shared" ref="D51:M51" si="39">+D44+D50</f>
        <v>0</v>
      </c>
      <c r="E51" s="140">
        <f t="shared" si="39"/>
        <v>0</v>
      </c>
      <c r="F51" s="140">
        <f t="shared" si="39"/>
        <v>0</v>
      </c>
      <c r="G51" s="140">
        <f t="shared" si="39"/>
        <v>0</v>
      </c>
      <c r="H51" s="140">
        <f t="shared" si="39"/>
        <v>0</v>
      </c>
      <c r="I51" s="140">
        <f t="shared" si="39"/>
        <v>0</v>
      </c>
      <c r="J51" s="140">
        <f t="shared" si="39"/>
        <v>0</v>
      </c>
      <c r="K51" s="140">
        <f t="shared" si="39"/>
        <v>0</v>
      </c>
      <c r="L51" s="140">
        <f t="shared" si="39"/>
        <v>0</v>
      </c>
      <c r="M51" s="140">
        <f t="shared" si="39"/>
        <v>0</v>
      </c>
      <c r="N51" s="140">
        <f t="shared" ref="N51" si="40">+N44+N50</f>
        <v>0</v>
      </c>
    </row>
    <row r="52" spans="2:14">
      <c r="B52" s="111" t="s">
        <v>1639</v>
      </c>
      <c r="C52" s="140">
        <f>+C51-C45</f>
        <v>0</v>
      </c>
      <c r="D52" s="140">
        <f t="shared" ref="D52:M52" si="41">+D51-D45</f>
        <v>0</v>
      </c>
      <c r="E52" s="140">
        <f t="shared" si="41"/>
        <v>0</v>
      </c>
      <c r="F52" s="140">
        <f t="shared" si="41"/>
        <v>0</v>
      </c>
      <c r="G52" s="140">
        <f t="shared" si="41"/>
        <v>0</v>
      </c>
      <c r="H52" s="140">
        <f t="shared" si="41"/>
        <v>0</v>
      </c>
      <c r="I52" s="140">
        <f t="shared" si="41"/>
        <v>0</v>
      </c>
      <c r="J52" s="140">
        <f t="shared" si="41"/>
        <v>0</v>
      </c>
      <c r="K52" s="140">
        <f t="shared" si="41"/>
        <v>0</v>
      </c>
      <c r="L52" s="140">
        <f t="shared" si="41"/>
        <v>0</v>
      </c>
      <c r="M52" s="140">
        <f t="shared" si="41"/>
        <v>0</v>
      </c>
      <c r="N52" s="140">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2" sqref="B12"/>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710937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28515625" style="147" hidden="1"/>
    <col min="256" max="498" width="12" style="147" hidden="1"/>
    <col min="499" max="499" width="18.710937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28515625" style="147" hidden="1"/>
    <col min="512" max="754" width="12" style="147" hidden="1"/>
    <col min="755" max="755" width="18.710937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28515625" style="147" hidden="1"/>
    <col min="768" max="1010" width="12" style="147" hidden="1"/>
    <col min="1011" max="1011" width="18.710937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28515625" style="147" hidden="1"/>
    <col min="1024" max="1266" width="12" style="147" hidden="1"/>
    <col min="1267" max="1267" width="18.710937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28515625" style="147" hidden="1"/>
    <col min="1280" max="1522" width="12" style="147" hidden="1"/>
    <col min="1523" max="1523" width="18.710937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28515625" style="147" hidden="1"/>
    <col min="1536" max="1778" width="12" style="147" hidden="1"/>
    <col min="1779" max="1779" width="18.710937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28515625" style="147" hidden="1"/>
    <col min="1792" max="2034" width="12" style="147" hidden="1"/>
    <col min="2035" max="2035" width="18.710937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28515625" style="147" hidden="1"/>
    <col min="2048" max="2290" width="12" style="147" hidden="1"/>
    <col min="2291" max="2291" width="18.710937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28515625" style="147" hidden="1"/>
    <col min="2304" max="2546" width="12" style="147" hidden="1"/>
    <col min="2547" max="2547" width="18.710937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28515625" style="147" hidden="1"/>
    <col min="2560" max="2802" width="12" style="147" hidden="1"/>
    <col min="2803" max="2803" width="18.710937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28515625" style="147" hidden="1"/>
    <col min="2816" max="3058" width="12" style="147" hidden="1"/>
    <col min="3059" max="3059" width="18.710937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28515625" style="147" hidden="1"/>
    <col min="3072" max="3314" width="12" style="147" hidden="1"/>
    <col min="3315" max="3315" width="18.710937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28515625" style="147" hidden="1"/>
    <col min="3328" max="3570" width="12" style="147" hidden="1"/>
    <col min="3571" max="3571" width="18.710937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28515625" style="147" hidden="1"/>
    <col min="3584" max="3826" width="12" style="147" hidden="1"/>
    <col min="3827" max="3827" width="18.710937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28515625" style="147" hidden="1"/>
    <col min="3840" max="4082" width="12" style="147" hidden="1"/>
    <col min="4083" max="4083" width="18.710937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28515625" style="147" hidden="1"/>
    <col min="4096" max="4338" width="12" style="147" hidden="1"/>
    <col min="4339" max="4339" width="18.710937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28515625" style="147" hidden="1"/>
    <col min="4352" max="4594" width="12" style="147" hidden="1"/>
    <col min="4595" max="4595" width="18.710937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28515625" style="147" hidden="1"/>
    <col min="4608" max="4850" width="12" style="147" hidden="1"/>
    <col min="4851" max="4851" width="18.710937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28515625" style="147" hidden="1"/>
    <col min="4864" max="5106" width="12" style="147" hidden="1"/>
    <col min="5107" max="5107" width="18.710937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28515625" style="147" hidden="1"/>
    <col min="5120" max="5362" width="12" style="147" hidden="1"/>
    <col min="5363" max="5363" width="18.710937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28515625" style="147" hidden="1"/>
    <col min="5376" max="5618" width="12" style="147" hidden="1"/>
    <col min="5619" max="5619" width="18.710937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28515625" style="147" hidden="1"/>
    <col min="5632" max="5874" width="12" style="147" hidden="1"/>
    <col min="5875" max="5875" width="18.710937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28515625" style="147" hidden="1"/>
    <col min="5888" max="6130" width="12" style="147" hidden="1"/>
    <col min="6131" max="6131" width="18.710937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28515625" style="147" hidden="1"/>
    <col min="6144" max="6386" width="12" style="147" hidden="1"/>
    <col min="6387" max="6387" width="18.710937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28515625" style="147" hidden="1"/>
    <col min="6400" max="6642" width="12" style="147" hidden="1"/>
    <col min="6643" max="6643" width="18.710937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28515625" style="147" hidden="1"/>
    <col min="6656" max="6898" width="12" style="147" hidden="1"/>
    <col min="6899" max="6899" width="18.710937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28515625" style="147" hidden="1"/>
    <col min="6912" max="7154" width="12" style="147" hidden="1"/>
    <col min="7155" max="7155" width="18.710937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28515625" style="147" hidden="1"/>
    <col min="7168" max="7410" width="12" style="147" hidden="1"/>
    <col min="7411" max="7411" width="18.710937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28515625" style="147" hidden="1"/>
    <col min="7424" max="7666" width="12" style="147" hidden="1"/>
    <col min="7667" max="7667" width="18.710937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28515625" style="147" hidden="1"/>
    <col min="7680" max="7922" width="12" style="147" hidden="1"/>
    <col min="7923" max="7923" width="18.710937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28515625" style="147" hidden="1"/>
    <col min="7936" max="8178" width="12" style="147" hidden="1"/>
    <col min="8179" max="8179" width="18.710937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28515625" style="147" hidden="1"/>
    <col min="8192" max="8434" width="12" style="147" hidden="1"/>
    <col min="8435" max="8435" width="18.710937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28515625" style="147" hidden="1"/>
    <col min="8448" max="8690" width="12" style="147" hidden="1"/>
    <col min="8691" max="8691" width="18.710937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28515625" style="147" hidden="1"/>
    <col min="8704" max="8946" width="12" style="147" hidden="1"/>
    <col min="8947" max="8947" width="18.710937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28515625" style="147" hidden="1"/>
    <col min="8960" max="9202" width="12" style="147" hidden="1"/>
    <col min="9203" max="9203" width="18.710937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28515625" style="147" hidden="1"/>
    <col min="9216" max="9458" width="12" style="147" hidden="1"/>
    <col min="9459" max="9459" width="18.710937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28515625" style="147" hidden="1"/>
    <col min="9472" max="9714" width="12" style="147" hidden="1"/>
    <col min="9715" max="9715" width="18.710937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28515625" style="147" hidden="1"/>
    <col min="9728" max="9970" width="12" style="147" hidden="1"/>
    <col min="9971" max="9971" width="18.710937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28515625" style="147" hidden="1"/>
    <col min="9984" max="10226" width="12" style="147" hidden="1"/>
    <col min="10227" max="10227" width="18.710937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28515625" style="147" hidden="1"/>
    <col min="10240" max="10482" width="12" style="147" hidden="1"/>
    <col min="10483" max="10483" width="18.710937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28515625" style="147" hidden="1"/>
    <col min="10496" max="10738" width="12" style="147" hidden="1"/>
    <col min="10739" max="10739" width="18.710937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28515625" style="147" hidden="1"/>
    <col min="10752" max="10994" width="12" style="147" hidden="1"/>
    <col min="10995" max="10995" width="18.710937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28515625" style="147" hidden="1"/>
    <col min="11008" max="11250" width="12" style="147" hidden="1"/>
    <col min="11251" max="11251" width="18.710937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28515625" style="147" hidden="1"/>
    <col min="11264" max="11506" width="12" style="147" hidden="1"/>
    <col min="11507" max="11507" width="18.710937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28515625" style="147" hidden="1"/>
    <col min="11520" max="11762" width="12" style="147" hidden="1"/>
    <col min="11763" max="11763" width="18.710937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28515625" style="147" hidden="1"/>
    <col min="11776" max="12018" width="12" style="147" hidden="1"/>
    <col min="12019" max="12019" width="18.710937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28515625" style="147" hidden="1"/>
    <col min="12032" max="12274" width="12" style="147" hidden="1"/>
    <col min="12275" max="12275" width="18.710937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28515625" style="147" hidden="1"/>
    <col min="12288" max="12530" width="12" style="147" hidden="1"/>
    <col min="12531" max="12531" width="18.710937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28515625" style="147" hidden="1"/>
    <col min="12544" max="12786" width="12" style="147" hidden="1"/>
    <col min="12787" max="12787" width="18.710937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28515625" style="147" hidden="1"/>
    <col min="12800" max="13042" width="12" style="147" hidden="1"/>
    <col min="13043" max="13043" width="18.710937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28515625" style="147" hidden="1"/>
    <col min="13056" max="13298" width="12" style="147" hidden="1"/>
    <col min="13299" max="13299" width="18.710937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28515625" style="147" hidden="1"/>
    <col min="13312" max="13554" width="12" style="147" hidden="1"/>
    <col min="13555" max="13555" width="18.710937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28515625" style="147" hidden="1"/>
    <col min="13568" max="13810" width="12" style="147" hidden="1"/>
    <col min="13811" max="13811" width="18.710937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28515625" style="147" hidden="1"/>
    <col min="13824" max="14066" width="12" style="147" hidden="1"/>
    <col min="14067" max="14067" width="18.710937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28515625" style="147" hidden="1"/>
    <col min="14080" max="14322" width="12" style="147" hidden="1"/>
    <col min="14323" max="14323" width="18.710937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28515625" style="147" hidden="1"/>
    <col min="14336" max="14578" width="12" style="147" hidden="1"/>
    <col min="14579" max="14579" width="18.710937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28515625" style="147" hidden="1"/>
    <col min="14592" max="14834" width="12" style="147" hidden="1"/>
    <col min="14835" max="14835" width="18.710937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28515625" style="147" hidden="1"/>
    <col min="14848" max="15090" width="12" style="147" hidden="1"/>
    <col min="15091" max="15091" width="18.710937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28515625" style="147" hidden="1"/>
    <col min="15104" max="15346" width="12" style="147" hidden="1"/>
    <col min="15347" max="15347" width="18.710937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28515625" style="147" hidden="1"/>
    <col min="15360" max="15602" width="12" style="147" hidden="1"/>
    <col min="15603" max="15603" width="18.710937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28515625" style="147" hidden="1"/>
    <col min="15616" max="15858" width="12" style="147" hidden="1"/>
    <col min="15859" max="15859" width="18.710937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28515625" style="147" hidden="1"/>
    <col min="15872" max="16114" width="12" style="147" hidden="1"/>
    <col min="16115" max="16115" width="18.710937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28515625" style="147" hidden="1"/>
    <col min="16128" max="16384" width="12" style="147" hidden="1"/>
  </cols>
  <sheetData>
    <row r="1" spans="1:16127">
      <c r="A1" s="90"/>
      <c r="B1" s="91"/>
      <c r="C1" s="91"/>
    </row>
    <row r="2" spans="1:16127">
      <c r="A2" s="92"/>
      <c r="B2" s="89"/>
      <c r="C2" s="89"/>
    </row>
    <row r="3" spans="1:16127" ht="15" customHeight="1">
      <c r="A3" s="231"/>
      <c r="B3" s="232"/>
      <c r="C3" s="89"/>
    </row>
    <row r="4" spans="1:16127" ht="15" customHeight="1">
      <c r="A4" s="93"/>
      <c r="B4" s="94"/>
      <c r="C4" s="94"/>
    </row>
    <row r="5" spans="1:16127" s="148" customFormat="1">
      <c r="A5" s="233" t="s">
        <v>1644</v>
      </c>
      <c r="B5" s="234"/>
      <c r="C5" s="234"/>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5"/>
      <c r="B6" s="236"/>
      <c r="C6" s="236"/>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943</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41132</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6</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7" t="s">
        <v>1663</v>
      </c>
      <c r="B20" s="238"/>
      <c r="C20" s="238"/>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710937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40" t="s">
        <v>1614</v>
      </c>
      <c r="B3" s="241"/>
      <c r="C3" s="241"/>
      <c r="D3" s="241"/>
      <c r="E3" s="241"/>
      <c r="F3" s="241"/>
      <c r="G3" s="241"/>
      <c r="H3" s="241"/>
      <c r="I3" s="241"/>
      <c r="J3" s="241"/>
      <c r="K3" s="242"/>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3" t="s">
        <v>1646</v>
      </c>
      <c r="C6" s="243"/>
      <c r="D6" s="243"/>
      <c r="E6" s="243"/>
      <c r="F6" s="243"/>
      <c r="G6" s="243"/>
      <c r="H6" s="243"/>
      <c r="I6" s="243"/>
      <c r="J6" s="243"/>
      <c r="K6" s="244"/>
    </row>
    <row r="7" spans="1:11" ht="43.5" hidden="1" customHeight="1">
      <c r="A7" s="121"/>
      <c r="B7" s="243" t="s">
        <v>1647</v>
      </c>
      <c r="C7" s="243"/>
      <c r="D7" s="243"/>
      <c r="E7" s="243"/>
      <c r="F7" s="243"/>
      <c r="G7" s="243"/>
      <c r="H7" s="243"/>
      <c r="I7" s="243"/>
      <c r="J7" s="243"/>
      <c r="K7" s="244"/>
    </row>
    <row r="8" spans="1:11" ht="39.75" hidden="1" customHeight="1">
      <c r="A8" s="122"/>
      <c r="B8" s="243" t="s">
        <v>1648</v>
      </c>
      <c r="C8" s="243"/>
      <c r="D8" s="243"/>
      <c r="E8" s="243"/>
      <c r="F8" s="243"/>
      <c r="G8" s="243"/>
      <c r="H8" s="243"/>
      <c r="I8" s="243"/>
      <c r="J8" s="243"/>
      <c r="K8" s="244"/>
    </row>
    <row r="9" spans="1:11" ht="62.25" hidden="1" customHeight="1">
      <c r="A9" s="122"/>
      <c r="B9" s="243" t="s">
        <v>1649</v>
      </c>
      <c r="C9" s="243"/>
      <c r="D9" s="243"/>
      <c r="E9" s="243"/>
      <c r="F9" s="243"/>
      <c r="G9" s="243"/>
      <c r="H9" s="243"/>
      <c r="I9" s="243"/>
      <c r="J9" s="243"/>
      <c r="K9" s="244"/>
    </row>
    <row r="10" spans="1:11" ht="59.25" hidden="1" customHeight="1">
      <c r="A10" s="122"/>
      <c r="B10" s="243" t="s">
        <v>1650</v>
      </c>
      <c r="C10" s="243"/>
      <c r="D10" s="243"/>
      <c r="E10" s="243"/>
      <c r="F10" s="243"/>
      <c r="G10" s="243"/>
      <c r="H10" s="243"/>
      <c r="I10" s="243"/>
      <c r="J10" s="243"/>
      <c r="K10" s="244"/>
    </row>
    <row r="11" spans="1:11" ht="58.5" customHeight="1">
      <c r="A11" s="122"/>
      <c r="B11" s="243" t="s">
        <v>1641</v>
      </c>
      <c r="C11" s="243"/>
      <c r="D11" s="243"/>
      <c r="E11" s="243"/>
      <c r="F11" s="243"/>
      <c r="G11" s="243"/>
      <c r="H11" s="243"/>
      <c r="I11" s="243"/>
      <c r="J11" s="243"/>
      <c r="K11" s="244"/>
    </row>
    <row r="12" spans="1:11" ht="102" customHeight="1">
      <c r="A12" s="122"/>
      <c r="B12" s="243" t="s">
        <v>1651</v>
      </c>
      <c r="C12" s="243"/>
      <c r="D12" s="243"/>
      <c r="E12" s="243"/>
      <c r="F12" s="243"/>
      <c r="G12" s="243"/>
      <c r="H12" s="243"/>
      <c r="I12" s="243"/>
      <c r="J12" s="243"/>
      <c r="K12" s="244"/>
    </row>
    <row r="13" spans="1:11" ht="44.25" customHeight="1">
      <c r="A13" s="122"/>
      <c r="B13" s="243" t="s">
        <v>1652</v>
      </c>
      <c r="C13" s="243"/>
      <c r="D13" s="243"/>
      <c r="E13" s="243"/>
      <c r="F13" s="243"/>
      <c r="G13" s="243"/>
      <c r="H13" s="243"/>
      <c r="I13" s="243"/>
      <c r="J13" s="243"/>
      <c r="K13" s="244"/>
    </row>
    <row r="14" spans="1:11" ht="114" customHeight="1">
      <c r="A14" s="122"/>
      <c r="B14" s="243" t="s">
        <v>1642</v>
      </c>
      <c r="C14" s="243"/>
      <c r="D14" s="243"/>
      <c r="E14" s="243"/>
      <c r="F14" s="243"/>
      <c r="G14" s="243"/>
      <c r="H14" s="243"/>
      <c r="I14" s="243"/>
      <c r="J14" s="243"/>
      <c r="K14" s="244"/>
    </row>
    <row r="15" spans="1:11" ht="44.25" hidden="1" customHeight="1">
      <c r="A15" s="122"/>
      <c r="B15" s="243" t="s">
        <v>1654</v>
      </c>
      <c r="C15" s="243"/>
      <c r="D15" s="243"/>
      <c r="E15" s="243"/>
      <c r="F15" s="243"/>
      <c r="G15" s="243"/>
      <c r="H15" s="243"/>
      <c r="I15" s="243"/>
      <c r="J15" s="243"/>
      <c r="K15" s="244"/>
    </row>
    <row r="16" spans="1:11" ht="44.25" hidden="1" customHeight="1">
      <c r="A16" s="122"/>
      <c r="B16" s="243" t="s">
        <v>1653</v>
      </c>
      <c r="C16" s="243"/>
      <c r="D16" s="243"/>
      <c r="E16" s="243"/>
      <c r="F16" s="243"/>
      <c r="G16" s="243"/>
      <c r="H16" s="243"/>
      <c r="I16" s="243"/>
      <c r="J16" s="243"/>
      <c r="K16" s="244"/>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5" t="s">
        <v>1610</v>
      </c>
      <c r="D19" s="245"/>
      <c r="E19" s="245"/>
      <c r="F19" s="245"/>
      <c r="G19" s="245"/>
      <c r="H19" s="245"/>
      <c r="I19" s="245"/>
      <c r="J19" s="245"/>
      <c r="K19" s="120"/>
    </row>
    <row r="20" spans="1:11" ht="32.25" hidden="1" customHeight="1">
      <c r="A20" s="123" t="s">
        <v>121</v>
      </c>
      <c r="B20" s="124" t="s">
        <v>1609</v>
      </c>
      <c r="C20" s="245" t="s">
        <v>1608</v>
      </c>
      <c r="D20" s="245"/>
      <c r="E20" s="245"/>
      <c r="F20" s="245"/>
      <c r="G20" s="245"/>
      <c r="H20" s="245"/>
      <c r="I20" s="245"/>
      <c r="J20" s="245"/>
      <c r="K20" s="125"/>
    </row>
    <row r="21" spans="1:11" ht="16.5" hidden="1">
      <c r="A21" s="123" t="s">
        <v>123</v>
      </c>
      <c r="B21" s="126" t="s">
        <v>1607</v>
      </c>
      <c r="C21" s="239" t="s">
        <v>1606</v>
      </c>
      <c r="D21" s="239"/>
      <c r="E21" s="239"/>
      <c r="F21" s="239"/>
      <c r="G21" s="239"/>
      <c r="H21" s="239"/>
      <c r="I21" s="239"/>
      <c r="J21" s="239"/>
      <c r="K21" s="125"/>
    </row>
    <row r="22" spans="1:11" ht="16.5" hidden="1">
      <c r="A22" s="123" t="s">
        <v>124</v>
      </c>
      <c r="B22" s="124" t="s">
        <v>1605</v>
      </c>
      <c r="C22" s="239" t="s">
        <v>1604</v>
      </c>
      <c r="D22" s="239"/>
      <c r="E22" s="239"/>
      <c r="F22" s="239"/>
      <c r="G22" s="239"/>
      <c r="H22" s="239"/>
      <c r="I22" s="239"/>
      <c r="J22" s="239"/>
      <c r="K22" s="125"/>
    </row>
    <row r="23" spans="1:11" ht="16.5" hidden="1">
      <c r="A23" s="123" t="s">
        <v>125</v>
      </c>
      <c r="B23" s="124" t="s">
        <v>1603</v>
      </c>
      <c r="C23" s="239" t="s">
        <v>1602</v>
      </c>
      <c r="D23" s="239"/>
      <c r="E23" s="239"/>
      <c r="F23" s="239"/>
      <c r="G23" s="239"/>
      <c r="H23" s="239"/>
      <c r="I23" s="239"/>
      <c r="J23" s="239"/>
      <c r="K23" s="120"/>
    </row>
    <row r="24" spans="1:11" ht="16.5" hidden="1">
      <c r="A24" s="123" t="s">
        <v>126</v>
      </c>
      <c r="B24" s="124" t="s">
        <v>1601</v>
      </c>
      <c r="C24" s="239" t="s">
        <v>1600</v>
      </c>
      <c r="D24" s="239"/>
      <c r="E24" s="239"/>
      <c r="F24" s="239"/>
      <c r="G24" s="239"/>
      <c r="H24" s="239"/>
      <c r="I24" s="239"/>
      <c r="J24" s="239"/>
      <c r="K24" s="120"/>
    </row>
    <row r="25" spans="1:11" ht="15" hidden="1" customHeight="1">
      <c r="A25" s="123" t="s">
        <v>127</v>
      </c>
      <c r="B25" s="124" t="s">
        <v>1599</v>
      </c>
      <c r="C25" s="239" t="s">
        <v>1598</v>
      </c>
      <c r="D25" s="239"/>
      <c r="E25" s="239"/>
      <c r="F25" s="239"/>
      <c r="G25" s="239"/>
      <c r="H25" s="239"/>
      <c r="I25" s="239"/>
      <c r="J25" s="239"/>
      <c r="K25" s="120"/>
    </row>
    <row r="26" spans="1:11" ht="15" hidden="1" customHeight="1">
      <c r="A26" s="123" t="s">
        <v>128</v>
      </c>
      <c r="B26" s="124" t="s">
        <v>1597</v>
      </c>
      <c r="C26" s="239" t="s">
        <v>1596</v>
      </c>
      <c r="D26" s="239"/>
      <c r="E26" s="239"/>
      <c r="F26" s="239"/>
      <c r="G26" s="239"/>
      <c r="H26" s="239"/>
      <c r="I26" s="239"/>
      <c r="J26" s="239"/>
      <c r="K26" s="125"/>
    </row>
    <row r="27" spans="1:11" ht="16.5" hidden="1">
      <c r="A27" s="123" t="s">
        <v>129</v>
      </c>
      <c r="B27" s="124" t="s">
        <v>1595</v>
      </c>
      <c r="C27" s="239" t="s">
        <v>1594</v>
      </c>
      <c r="D27" s="239"/>
      <c r="E27" s="239"/>
      <c r="F27" s="239"/>
      <c r="G27" s="239"/>
      <c r="H27" s="239"/>
      <c r="I27" s="239"/>
      <c r="J27" s="239"/>
      <c r="K27" s="125"/>
    </row>
    <row r="28" spans="1:11" ht="16.5" hidden="1">
      <c r="A28" s="123" t="s">
        <v>1593</v>
      </c>
      <c r="B28" s="124" t="s">
        <v>1592</v>
      </c>
      <c r="C28" s="239" t="s">
        <v>1591</v>
      </c>
      <c r="D28" s="239"/>
      <c r="E28" s="239"/>
      <c r="F28" s="239"/>
      <c r="G28" s="239"/>
      <c r="H28" s="239"/>
      <c r="I28" s="239"/>
      <c r="J28" s="239"/>
      <c r="K28" s="120"/>
    </row>
    <row r="29" spans="1:11" ht="16.5" hidden="1">
      <c r="A29" s="123" t="s">
        <v>1590</v>
      </c>
      <c r="B29" s="124" t="s">
        <v>1589</v>
      </c>
      <c r="C29" s="239" t="s">
        <v>1588</v>
      </c>
      <c r="D29" s="239"/>
      <c r="E29" s="239"/>
      <c r="F29" s="239"/>
      <c r="G29" s="239"/>
      <c r="H29" s="239"/>
      <c r="I29" s="239"/>
      <c r="J29" s="239"/>
      <c r="K29" s="120"/>
    </row>
    <row r="30" spans="1:11" ht="16.5" hidden="1">
      <c r="A30" s="123" t="s">
        <v>1587</v>
      </c>
      <c r="B30" s="124" t="s">
        <v>1586</v>
      </c>
      <c r="C30" s="239" t="s">
        <v>1585</v>
      </c>
      <c r="D30" s="239"/>
      <c r="E30" s="239"/>
      <c r="F30" s="239"/>
      <c r="G30" s="239"/>
      <c r="H30" s="239"/>
      <c r="I30" s="239"/>
      <c r="J30" s="239"/>
      <c r="K30" s="120"/>
    </row>
    <row r="31" spans="1:11" ht="16.5" hidden="1">
      <c r="A31" s="123" t="s">
        <v>1584</v>
      </c>
      <c r="B31" s="124" t="s">
        <v>1583</v>
      </c>
      <c r="C31" s="239" t="s">
        <v>1582</v>
      </c>
      <c r="D31" s="239"/>
      <c r="E31" s="239"/>
      <c r="F31" s="239"/>
      <c r="G31" s="239"/>
      <c r="H31" s="239"/>
      <c r="I31" s="239"/>
      <c r="J31" s="239"/>
      <c r="K31" s="120"/>
    </row>
    <row r="32" spans="1:11" ht="30" hidden="1" customHeight="1">
      <c r="A32" s="123" t="s">
        <v>1581</v>
      </c>
      <c r="B32" s="124" t="s">
        <v>1580</v>
      </c>
      <c r="C32" s="239" t="s">
        <v>1579</v>
      </c>
      <c r="D32" s="239"/>
      <c r="E32" s="239"/>
      <c r="F32" s="239"/>
      <c r="G32" s="239"/>
      <c r="H32" s="239"/>
      <c r="I32" s="239"/>
      <c r="J32" s="239"/>
      <c r="K32" s="127"/>
    </row>
    <row r="33" spans="1:11" ht="30" hidden="1" customHeight="1">
      <c r="A33" s="123" t="s">
        <v>1578</v>
      </c>
      <c r="B33" s="124" t="s">
        <v>1577</v>
      </c>
      <c r="C33" s="239" t="s">
        <v>1576</v>
      </c>
      <c r="D33" s="239"/>
      <c r="E33" s="239"/>
      <c r="F33" s="239"/>
      <c r="G33" s="239"/>
      <c r="H33" s="239"/>
      <c r="I33" s="239"/>
      <c r="J33" s="239"/>
      <c r="K33" s="127"/>
    </row>
    <row r="34" spans="1:11" ht="16.5" hidden="1">
      <c r="A34" s="123" t="s">
        <v>1575</v>
      </c>
      <c r="B34" s="124" t="s">
        <v>1574</v>
      </c>
      <c r="C34" s="239" t="s">
        <v>1573</v>
      </c>
      <c r="D34" s="239"/>
      <c r="E34" s="239"/>
      <c r="F34" s="239"/>
      <c r="G34" s="239"/>
      <c r="H34" s="239"/>
      <c r="I34" s="239"/>
      <c r="J34" s="239"/>
      <c r="K34" s="127"/>
    </row>
    <row r="35" spans="1:11" ht="30" hidden="1" customHeight="1">
      <c r="A35" s="123" t="s">
        <v>1572</v>
      </c>
      <c r="B35" s="124" t="s">
        <v>1571</v>
      </c>
      <c r="C35" s="239" t="s">
        <v>1570</v>
      </c>
      <c r="D35" s="239"/>
      <c r="E35" s="239"/>
      <c r="F35" s="239"/>
      <c r="G35" s="239"/>
      <c r="H35" s="239"/>
      <c r="I35" s="239"/>
      <c r="J35" s="239"/>
      <c r="K35" s="127"/>
    </row>
    <row r="36" spans="1:11" ht="16.5" hidden="1">
      <c r="A36" s="123" t="s">
        <v>1569</v>
      </c>
      <c r="B36" s="124" t="s">
        <v>1568</v>
      </c>
      <c r="C36" s="239" t="s">
        <v>1567</v>
      </c>
      <c r="D36" s="239"/>
      <c r="E36" s="239"/>
      <c r="F36" s="239"/>
      <c r="G36" s="239"/>
      <c r="H36" s="239"/>
      <c r="I36" s="239"/>
      <c r="J36" s="239"/>
      <c r="K36" s="127"/>
    </row>
    <row r="37" spans="1:11" ht="30" hidden="1" customHeight="1">
      <c r="A37" s="123" t="s">
        <v>1566</v>
      </c>
      <c r="B37" s="124" t="s">
        <v>1565</v>
      </c>
      <c r="C37" s="239" t="s">
        <v>1564</v>
      </c>
      <c r="D37" s="239"/>
      <c r="E37" s="239"/>
      <c r="F37" s="239"/>
      <c r="G37" s="239"/>
      <c r="H37" s="239"/>
      <c r="I37" s="239"/>
      <c r="J37" s="239"/>
      <c r="K37" s="127"/>
    </row>
    <row r="38" spans="1:11" ht="30" hidden="1" customHeight="1">
      <c r="A38" s="123" t="s">
        <v>1563</v>
      </c>
      <c r="B38" s="124" t="s">
        <v>1562</v>
      </c>
      <c r="C38" s="239" t="s">
        <v>1561</v>
      </c>
      <c r="D38" s="239"/>
      <c r="E38" s="239"/>
      <c r="F38" s="239"/>
      <c r="G38" s="239"/>
      <c r="H38" s="239"/>
      <c r="I38" s="239"/>
      <c r="J38" s="239"/>
      <c r="K38" s="127"/>
    </row>
    <row r="39" spans="1:11" ht="16.5" hidden="1">
      <c r="A39" s="123" t="s">
        <v>1560</v>
      </c>
      <c r="B39" s="124" t="s">
        <v>1559</v>
      </c>
      <c r="C39" s="239" t="s">
        <v>1558</v>
      </c>
      <c r="D39" s="239"/>
      <c r="E39" s="239"/>
      <c r="F39" s="239"/>
      <c r="G39" s="239"/>
      <c r="H39" s="239"/>
      <c r="I39" s="239"/>
      <c r="J39" s="239"/>
      <c r="K39" s="127"/>
    </row>
    <row r="40" spans="1:11" ht="16.5" hidden="1">
      <c r="A40" s="123" t="s">
        <v>1557</v>
      </c>
      <c r="B40" s="124" t="s">
        <v>1556</v>
      </c>
      <c r="C40" s="239" t="s">
        <v>1555</v>
      </c>
      <c r="D40" s="239"/>
      <c r="E40" s="239"/>
      <c r="F40" s="239"/>
      <c r="G40" s="239"/>
      <c r="H40" s="239"/>
      <c r="I40" s="239"/>
      <c r="J40" s="239"/>
      <c r="K40" s="127"/>
    </row>
    <row r="41" spans="1:11" ht="16.5" hidden="1">
      <c r="A41" s="123" t="s">
        <v>1554</v>
      </c>
      <c r="B41" s="124" t="s">
        <v>1393</v>
      </c>
      <c r="C41" s="239" t="s">
        <v>1553</v>
      </c>
      <c r="D41" s="239"/>
      <c r="E41" s="239"/>
      <c r="F41" s="239"/>
      <c r="G41" s="239"/>
      <c r="H41" s="239"/>
      <c r="I41" s="239"/>
      <c r="J41" s="239"/>
      <c r="K41" s="127"/>
    </row>
    <row r="42" spans="1:11" ht="15" hidden="1" customHeight="1">
      <c r="A42" s="123" t="s">
        <v>1552</v>
      </c>
      <c r="B42" s="124" t="s">
        <v>1503</v>
      </c>
      <c r="C42" s="239" t="s">
        <v>1551</v>
      </c>
      <c r="D42" s="239"/>
      <c r="E42" s="239"/>
      <c r="F42" s="239"/>
      <c r="G42" s="239"/>
      <c r="H42" s="239"/>
      <c r="I42" s="239"/>
      <c r="J42" s="239"/>
      <c r="K42" s="127"/>
    </row>
    <row r="43" spans="1:11" ht="16.5" hidden="1">
      <c r="A43" s="123" t="s">
        <v>1550</v>
      </c>
      <c r="B43" s="124" t="s">
        <v>1549</v>
      </c>
      <c r="C43" s="239" t="s">
        <v>1548</v>
      </c>
      <c r="D43" s="239"/>
      <c r="E43" s="239"/>
      <c r="F43" s="239"/>
      <c r="G43" s="239"/>
      <c r="H43" s="239"/>
      <c r="I43" s="239"/>
      <c r="J43" s="239"/>
      <c r="K43" s="127"/>
    </row>
    <row r="44" spans="1:11" ht="16.5" hidden="1">
      <c r="A44" s="123" t="s">
        <v>1547</v>
      </c>
      <c r="B44" s="124" t="s">
        <v>1546</v>
      </c>
      <c r="C44" s="239" t="s">
        <v>1545</v>
      </c>
      <c r="D44" s="239"/>
      <c r="E44" s="239"/>
      <c r="F44" s="239"/>
      <c r="G44" s="239"/>
      <c r="H44" s="239"/>
      <c r="I44" s="239"/>
      <c r="J44" s="239"/>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E23" activePane="bottomRight" state="frozen"/>
      <selection pane="topRight" activeCell="E1" sqref="E1"/>
      <selection pane="bottomLeft" activeCell="A4" sqref="A4"/>
      <selection pane="bottomRight" activeCell="D51" sqref="D51"/>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2.xml><?xml version="1.0" encoding="utf-8"?>
<ds:datastoreItem xmlns:ds="http://schemas.openxmlformats.org/officeDocument/2006/customXml" ds:itemID="{E74283EF-BE1B-431B-A6D0-DB6D98E26D7F}">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9459fd2a-46a2-4c7b-8c24-2e73cec55239"/>
    <ds:schemaRef ds:uri="http://purl.org/dc/dcmitype/"/>
    <ds:schemaRef ds:uri="http://purl.org/dc/elements/1.1/"/>
    <ds:schemaRef ds:uri="http://schemas.microsoft.com/sharepoint/v3/fields"/>
    <ds:schemaRef ds:uri="http://www.w3.org/XML/1998/namespace"/>
    <ds:schemaRef ds:uri="http://schemas.microsoft.com/office/infopath/2007/PartnerControls"/>
    <ds:schemaRef ds:uri="af7f7f6b-44e7-444a-90a4-d02bbf46acb6"/>
    <ds:schemaRef ds:uri="http://schemas.microsoft.com/sharepoint/v3"/>
  </ds:schemaRefs>
</ds:datastoreItem>
</file>

<file path=customXml/itemProps3.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275558F-76CA-43BF-A5AE-637E76F3708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2019-03-05T20:21:05Z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