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D17" i="47" l="1"/>
  <c r="E17" i="47"/>
  <c r="F17" i="47"/>
  <c r="G17" i="47"/>
  <c r="H17" i="47"/>
  <c r="I17" i="47"/>
  <c r="C17" i="47"/>
  <c r="Q108" i="17" l="1"/>
  <c r="Q107" i="17"/>
  <c r="Q106" i="17"/>
  <c r="Q105" i="17"/>
  <c r="Q104" i="17"/>
  <c r="Q102" i="17"/>
  <c r="Q101" i="17"/>
  <c r="Q95" i="17"/>
  <c r="Q94" i="17"/>
  <c r="Q93" i="17"/>
  <c r="Q92" i="17"/>
  <c r="Q91" i="17"/>
  <c r="Q90" i="17"/>
  <c r="Q89" i="17"/>
  <c r="Q85" i="17"/>
  <c r="Q84" i="17"/>
  <c r="Q83" i="17"/>
  <c r="Q82" i="17"/>
  <c r="Q80" i="17"/>
  <c r="Q79" i="17"/>
  <c r="Q78" i="17"/>
  <c r="Q77" i="17"/>
  <c r="Q76" i="17"/>
  <c r="Q73" i="17"/>
  <c r="Q72" i="17"/>
  <c r="Q70" i="17"/>
  <c r="Q69" i="17"/>
  <c r="Q68" i="17"/>
  <c r="Q67" i="17"/>
  <c r="Q66" i="17"/>
  <c r="Q62" i="17"/>
  <c r="Q61" i="17"/>
  <c r="Q60" i="17"/>
  <c r="Q59" i="17"/>
  <c r="Q58" i="17"/>
  <c r="Q57" i="17"/>
  <c r="Q56" i="17"/>
  <c r="Q55" i="17"/>
  <c r="Q54" i="17"/>
  <c r="Q53" i="17"/>
  <c r="Q51" i="17"/>
  <c r="Q50" i="17"/>
  <c r="Q46" i="17"/>
  <c r="Q45" i="17"/>
  <c r="Q44" i="17"/>
  <c r="Q43" i="17"/>
  <c r="Q42" i="17"/>
  <c r="Q41" i="17"/>
  <c r="Q40" i="17"/>
  <c r="Q39" i="17"/>
  <c r="Q38" i="17"/>
  <c r="Q37" i="17"/>
  <c r="Q36" i="17"/>
  <c r="Q35" i="17"/>
  <c r="Q29" i="17"/>
  <c r="Q31" i="17"/>
  <c r="Q30" i="17"/>
  <c r="Q27" i="17"/>
  <c r="Q26" i="17"/>
  <c r="Q22" i="17"/>
  <c r="Q21" i="17"/>
  <c r="Q9" i="17"/>
  <c r="Q10" i="17"/>
  <c r="Q11" i="17"/>
  <c r="Q12" i="17"/>
  <c r="Q13" i="17"/>
  <c r="Q14" i="17"/>
  <c r="Q15" i="17"/>
  <c r="Q16" i="17"/>
  <c r="Q17" i="17"/>
  <c r="Q18" i="17"/>
  <c r="Q19" i="17"/>
  <c r="Q8" i="17"/>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G81" i="17"/>
  <c r="H81" i="17"/>
  <c r="I81" i="17"/>
  <c r="J81" i="17"/>
  <c r="K81" i="17"/>
  <c r="L81" i="17"/>
  <c r="M81" i="17"/>
  <c r="N81" i="17"/>
  <c r="O81" i="17"/>
  <c r="P81" i="17"/>
  <c r="Q81" i="17"/>
  <c r="N49" i="47" l="1"/>
  <c r="N50" i="47" s="1"/>
  <c r="N51" i="47" s="1"/>
  <c r="N45" i="47" l="1"/>
  <c r="N52" i="47" s="1"/>
  <c r="Q122" i="17" l="1"/>
  <c r="Q103" i="17"/>
  <c r="Q100" i="17"/>
  <c r="Q88" i="17"/>
  <c r="Q87" i="17" s="1"/>
  <c r="Q71" i="17"/>
  <c r="N14" i="22" s="1"/>
  <c r="N11" i="22" s="1"/>
  <c r="Q65" i="17"/>
  <c r="Q52" i="17"/>
  <c r="Q49" i="17" s="1"/>
  <c r="N7" i="22" s="1"/>
  <c r="Q34" i="17"/>
  <c r="Q33" i="17" s="1"/>
  <c r="Q32" i="17" s="1"/>
  <c r="Q28" i="17"/>
  <c r="Q25" i="17"/>
  <c r="Q20" i="17"/>
  <c r="Q7" i="17"/>
  <c r="Q99" i="17" l="1"/>
  <c r="Q98" i="17" s="1"/>
  <c r="Q24" i="17"/>
  <c r="Q23" i="17" s="1"/>
  <c r="Q6" i="17" s="1"/>
  <c r="N5" i="22" l="1"/>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L49" i="47" l="1"/>
  <c r="L50" i="47" s="1"/>
  <c r="L51" i="47" s="1"/>
  <c r="L52" i="47" s="1"/>
  <c r="K49" i="47"/>
  <c r="K50" i="47" s="1"/>
  <c r="K51" i="47" s="1"/>
  <c r="K52" i="47" s="1"/>
  <c r="H49" i="47"/>
  <c r="H50" i="47" s="1"/>
  <c r="G49" i="47"/>
  <c r="G50" i="47" s="1"/>
  <c r="D49" i="47"/>
  <c r="D50" i="47" s="1"/>
  <c r="F49" i="47" l="1"/>
  <c r="F50" i="47" s="1"/>
  <c r="J49" i="47"/>
  <c r="J50" i="47" s="1"/>
  <c r="J51" i="47" s="1"/>
  <c r="J52" i="47" s="1"/>
  <c r="E49" i="47"/>
  <c r="E50" i="47" s="1"/>
  <c r="I49" i="47"/>
  <c r="I50" i="47" s="1"/>
  <c r="I51" i="47" s="1"/>
  <c r="I52" i="47" s="1"/>
  <c r="M49" i="47"/>
  <c r="M50" i="47" s="1"/>
  <c r="M51" i="47" s="1"/>
  <c r="M52" i="47" s="1"/>
  <c r="C49" i="47"/>
  <c r="C50" i="47" s="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H86" i="17" l="1"/>
  <c r="H75" i="17" s="1"/>
  <c r="L86" i="17"/>
  <c r="L75" i="17" s="1"/>
  <c r="P86" i="17"/>
  <c r="P75" i="17" s="1"/>
  <c r="F63" i="17"/>
  <c r="J63" i="17"/>
  <c r="N63" i="17"/>
  <c r="F64" i="17"/>
  <c r="J64" i="17"/>
  <c r="N64" i="17"/>
  <c r="I86" i="17"/>
  <c r="I75" i="17" s="1"/>
  <c r="M86" i="17"/>
  <c r="M75" i="17" s="1"/>
  <c r="Q86" i="17"/>
  <c r="Q75" i="17" s="1"/>
  <c r="G63" i="17"/>
  <c r="K63" i="17"/>
  <c r="O63" i="17"/>
  <c r="G64" i="17"/>
  <c r="K64" i="17"/>
  <c r="O64" i="17"/>
  <c r="F86" i="17"/>
  <c r="F75" i="17" s="1"/>
  <c r="J86" i="17"/>
  <c r="J75" i="17" s="1"/>
  <c r="N86" i="17"/>
  <c r="N75" i="17" s="1"/>
  <c r="H63" i="17"/>
  <c r="L63" i="17"/>
  <c r="P63" i="17"/>
  <c r="H64" i="17"/>
  <c r="L64" i="17"/>
  <c r="P64" i="17"/>
  <c r="G86" i="17"/>
  <c r="G75" i="17" s="1"/>
  <c r="K86" i="17"/>
  <c r="K75" i="17" s="1"/>
  <c r="O86" i="17"/>
  <c r="O75" i="17" s="1"/>
  <c r="I63" i="17"/>
  <c r="M63" i="17"/>
  <c r="Q63" i="17"/>
  <c r="I64" i="17"/>
  <c r="M64" i="17"/>
  <c r="Q64" i="17"/>
  <c r="E90" i="17"/>
  <c r="E15" i="17"/>
  <c r="E102" i="17"/>
  <c r="E70" i="17"/>
  <c r="E12" i="17"/>
  <c r="E94" i="17"/>
  <c r="E19" i="17"/>
  <c r="E107" i="17"/>
  <c r="E77" i="17"/>
  <c r="E101" i="17"/>
  <c r="E80" i="17"/>
  <c r="E120" i="17"/>
  <c r="E122" i="17" s="1"/>
  <c r="E89" i="17"/>
  <c r="E61" i="17"/>
  <c r="E21" i="17"/>
  <c r="E108" i="17"/>
  <c r="E35" i="17"/>
  <c r="E22" i="17"/>
  <c r="E119" i="17"/>
  <c r="E29" i="17"/>
  <c r="E46" i="17"/>
  <c r="E45" i="17"/>
  <c r="E51" i="17"/>
  <c r="E58" i="17"/>
  <c r="E30" i="17"/>
  <c r="E42" i="17"/>
  <c r="E67" i="17"/>
  <c r="E37" i="17"/>
  <c r="E40" i="17"/>
  <c r="E38" i="17"/>
  <c r="E17" i="17"/>
  <c r="E86" i="17"/>
  <c r="E66" i="17"/>
  <c r="E72" i="17"/>
  <c r="E92" i="17"/>
  <c r="E53" i="17"/>
  <c r="E76" i="17"/>
  <c r="E83" i="17"/>
  <c r="E54" i="17"/>
  <c r="E78" i="17"/>
  <c r="E41" i="17"/>
  <c r="E84" i="17"/>
  <c r="E93" i="17"/>
  <c r="E8" i="17"/>
  <c r="E14" i="17"/>
  <c r="E39" i="17"/>
  <c r="E9" i="17"/>
  <c r="E91" i="17"/>
  <c r="E36" i="17"/>
  <c r="E26" i="17"/>
  <c r="E43" i="17"/>
  <c r="E13" i="17"/>
  <c r="E95" i="17"/>
  <c r="E16" i="17"/>
  <c r="E104" i="17"/>
  <c r="E103" i="17" s="1"/>
  <c r="E27" i="17"/>
  <c r="E25" i="17" s="1"/>
  <c r="E121" i="17"/>
  <c r="E105" i="17"/>
  <c r="E44" i="17"/>
  <c r="E55" i="17"/>
  <c r="E31" i="17"/>
  <c r="E59" i="17"/>
  <c r="E56" i="17"/>
  <c r="E63" i="17"/>
  <c r="E10" i="17"/>
  <c r="E50" i="17"/>
  <c r="E18" i="17"/>
  <c r="E64" i="17"/>
  <c r="E73" i="17"/>
  <c r="E69" i="17"/>
  <c r="E79" i="17"/>
  <c r="E82" i="17"/>
  <c r="E81" i="17" s="1"/>
  <c r="E106" i="17"/>
  <c r="E57" i="17"/>
  <c r="E60" i="17"/>
  <c r="E68" i="17"/>
  <c r="E62" i="17"/>
  <c r="E11" i="17"/>
  <c r="E85" i="17"/>
  <c r="E71" i="17"/>
  <c r="B14" i="22" s="1"/>
  <c r="E100" i="17"/>
  <c r="E28" i="17"/>
  <c r="E20" i="17"/>
  <c r="C21" i="47"/>
  <c r="C13" i="47"/>
  <c r="C6" i="47"/>
  <c r="D6" i="47" s="1"/>
  <c r="C20" i="47"/>
  <c r="C12" i="47"/>
  <c r="C24" i="47"/>
  <c r="C18" i="47"/>
  <c r="C8" i="47"/>
  <c r="D8" i="47" s="1"/>
  <c r="E8" i="47" s="1"/>
  <c r="F8" i="47" s="1"/>
  <c r="G8" i="47" s="1"/>
  <c r="H8" i="47" s="1"/>
  <c r="I8" i="47" s="1"/>
  <c r="J8" i="47" s="1"/>
  <c r="K8" i="47" s="1"/>
  <c r="L8" i="47" s="1"/>
  <c r="M8" i="47" s="1"/>
  <c r="N8" i="47" s="1"/>
  <c r="C7" i="47"/>
  <c r="H4" i="17"/>
  <c r="C5" i="47" l="1"/>
  <c r="E99" i="17"/>
  <c r="N6" i="22"/>
  <c r="N9" i="22" s="1"/>
  <c r="N10" i="22" s="1"/>
  <c r="Q96" i="17"/>
  <c r="Q5" i="17"/>
  <c r="N8" i="22"/>
  <c r="Q48" i="17"/>
  <c r="C9" i="47"/>
  <c r="E24" i="17"/>
  <c r="E7" i="17"/>
  <c r="E52" i="17"/>
  <c r="E49" i="17" s="1"/>
  <c r="B7" i="22" s="1"/>
  <c r="E34" i="17"/>
  <c r="E33" i="17" s="1"/>
  <c r="E32" i="17" s="1"/>
  <c r="E75" i="17"/>
  <c r="B6" i="22" s="1"/>
  <c r="E98" i="17"/>
  <c r="E65" i="17"/>
  <c r="E88" i="17"/>
  <c r="E87" i="17" s="1"/>
  <c r="C16" i="47"/>
  <c r="C11" i="47"/>
  <c r="C22" i="47"/>
  <c r="C35" i="47" s="1"/>
  <c r="D5" i="47"/>
  <c r="E6" i="47"/>
  <c r="I4" i="17"/>
  <c r="Q47" i="17" l="1"/>
  <c r="Q115" i="17" s="1"/>
  <c r="Q126" i="17" s="1"/>
  <c r="Q74" i="17"/>
  <c r="Q114" i="17"/>
  <c r="Q97" i="17"/>
  <c r="Q111" i="17"/>
  <c r="Q112" i="17" s="1"/>
  <c r="C26" i="47"/>
  <c r="C10" i="47"/>
  <c r="C44" i="47" s="1"/>
  <c r="B8" i="22"/>
  <c r="E23" i="17"/>
  <c r="E6" i="17" s="1"/>
  <c r="B5" i="22" s="1"/>
  <c r="E48" i="17"/>
  <c r="E47" i="17" s="1"/>
  <c r="E115" i="17" s="1"/>
  <c r="E126" i="17" s="1"/>
  <c r="E96" i="17"/>
  <c r="F6" i="47"/>
  <c r="E5" i="47"/>
  <c r="D9" i="47"/>
  <c r="J4" i="17"/>
  <c r="Q116" i="17" l="1"/>
  <c r="Q125" i="17"/>
  <c r="Q127" i="17" s="1"/>
  <c r="C45" i="47"/>
  <c r="C46" i="47" s="1"/>
  <c r="C51" i="47"/>
  <c r="B9" i="22"/>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G6" i="47"/>
  <c r="K4" i="17"/>
  <c r="C52" i="47" l="1"/>
  <c r="C32" i="47"/>
  <c r="E97" i="17"/>
  <c r="E111" i="17"/>
  <c r="E112" i="17" s="1"/>
  <c r="F49" i="17"/>
  <c r="F48" i="17" s="1"/>
  <c r="F47" i="17" s="1"/>
  <c r="F115" i="17" s="1"/>
  <c r="F126" i="17" s="1"/>
  <c r="C8" i="22"/>
  <c r="E125" i="17"/>
  <c r="E127" i="17" s="1"/>
  <c r="E116" i="17"/>
  <c r="D11" i="47"/>
  <c r="H6" i="47"/>
  <c r="G5" i="47"/>
  <c r="F9" i="47"/>
  <c r="F26" i="47" s="1"/>
  <c r="E26" i="47"/>
  <c r="L4" i="17"/>
  <c r="C7" i="22" l="1"/>
  <c r="D10" i="47"/>
  <c r="G9" i="47"/>
  <c r="I6" i="47"/>
  <c r="H5" i="47"/>
  <c r="M4" i="17"/>
  <c r="E35" i="47" l="1"/>
  <c r="E37" i="47" s="1"/>
  <c r="D44" i="47"/>
  <c r="F100" i="17"/>
  <c r="E12" i="47"/>
  <c r="E11" i="47" s="1"/>
  <c r="E10" i="47" s="1"/>
  <c r="E44" i="47" s="1"/>
  <c r="D27" i="47"/>
  <c r="D28" i="47" s="1"/>
  <c r="D29" i="47" s="1"/>
  <c r="E38" i="47"/>
  <c r="E31" i="47" s="1"/>
  <c r="I5" i="47"/>
  <c r="I32" i="47" s="1"/>
  <c r="J6" i="47"/>
  <c r="G26" i="47"/>
  <c r="H9" i="47"/>
  <c r="N4" i="17"/>
  <c r="D45" i="47" l="1"/>
  <c r="D46" i="47" s="1"/>
  <c r="D51" i="47"/>
  <c r="E45" i="47"/>
  <c r="E51" i="47"/>
  <c r="F28" i="17"/>
  <c r="F103" i="17"/>
  <c r="F99" i="17" s="1"/>
  <c r="E46" i="47"/>
  <c r="F35" i="47"/>
  <c r="F37" i="47" s="1"/>
  <c r="F38" i="47" s="1"/>
  <c r="F31" i="47" s="1"/>
  <c r="F12" i="47"/>
  <c r="F11" i="47" s="1"/>
  <c r="F10" i="47" s="1"/>
  <c r="F44" i="47" s="1"/>
  <c r="E27" i="47"/>
  <c r="E28" i="47" s="1"/>
  <c r="E29" i="47" s="1"/>
  <c r="H26" i="47"/>
  <c r="K6" i="47"/>
  <c r="J5" i="47"/>
  <c r="J32" i="47" s="1"/>
  <c r="I9" i="47"/>
  <c r="I26" i="47" s="1"/>
  <c r="O4" i="17"/>
  <c r="F25" i="17"/>
  <c r="F20" i="17"/>
  <c r="D52" i="47" l="1"/>
  <c r="D32" i="47"/>
  <c r="E52" i="47"/>
  <c r="E32" i="47"/>
  <c r="F45" i="47"/>
  <c r="F51" i="47"/>
  <c r="F34" i="17"/>
  <c r="F33" i="17" s="1"/>
  <c r="F32" i="17" s="1"/>
  <c r="F7" i="17"/>
  <c r="F27" i="47"/>
  <c r="F28" i="47" s="1"/>
  <c r="F29" i="47" s="1"/>
  <c r="G12" i="47"/>
  <c r="G11" i="47" s="1"/>
  <c r="G10" i="47" s="1"/>
  <c r="G44" i="47" s="1"/>
  <c r="G35" i="47"/>
  <c r="G37" i="47" s="1"/>
  <c r="G38" i="47" s="1"/>
  <c r="G31" i="47" s="1"/>
  <c r="F46" i="47"/>
  <c r="J9" i="47"/>
  <c r="K5" i="47"/>
  <c r="K32" i="47" s="1"/>
  <c r="L6" i="47"/>
  <c r="P4" i="17"/>
  <c r="Q4" i="17" s="1"/>
  <c r="N4" i="22" s="1"/>
  <c r="N13" i="22" s="1"/>
  <c r="F98" i="17"/>
  <c r="F24" i="17"/>
  <c r="G45" i="47" l="1"/>
  <c r="G51" i="47"/>
  <c r="F52" i="47"/>
  <c r="F32" i="47"/>
  <c r="G46" i="47"/>
  <c r="H35" i="47"/>
  <c r="H37" i="47" s="1"/>
  <c r="H38" i="47" s="1"/>
  <c r="H31" i="47" s="1"/>
  <c r="G27" i="47"/>
  <c r="G28" i="47" s="1"/>
  <c r="G29" i="47" s="1"/>
  <c r="H12" i="47"/>
  <c r="H11" i="47" s="1"/>
  <c r="F96" i="17"/>
  <c r="C6" i="22"/>
  <c r="M6" i="47"/>
  <c r="L5" i="47"/>
  <c r="L32" i="47" s="1"/>
  <c r="K9" i="47"/>
  <c r="J26" i="47"/>
  <c r="F23" i="17"/>
  <c r="F6" i="17" s="1"/>
  <c r="G52" i="47" l="1"/>
  <c r="G32" i="47"/>
  <c r="M5" i="47"/>
  <c r="M32" i="47" s="1"/>
  <c r="N6" i="47"/>
  <c r="N5" i="47" s="1"/>
  <c r="H10" i="47"/>
  <c r="F5" i="17"/>
  <c r="F114" i="17" s="1"/>
  <c r="C5" i="22"/>
  <c r="L9" i="47"/>
  <c r="K26" i="47"/>
  <c r="F74" i="17"/>
  <c r="C37" i="47"/>
  <c r="C38" i="47" s="1"/>
  <c r="C2" i="17"/>
  <c r="I35" i="47" l="1"/>
  <c r="I37" i="47" s="1"/>
  <c r="I38" i="47" s="1"/>
  <c r="I31" i="47" s="1"/>
  <c r="H44" i="47"/>
  <c r="M9" i="47"/>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H45" i="47" l="1"/>
  <c r="H46" i="47" s="1"/>
  <c r="H51" i="47"/>
  <c r="N26" i="47"/>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H52" i="47" l="1"/>
  <c r="H32" i="47"/>
  <c r="N96" i="17"/>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c r="G10" i="22"/>
  <c r="G11" i="22" s="1"/>
  <c r="E10" i="22"/>
  <c r="E11" i="22" s="1"/>
  <c r="I10" i="22"/>
  <c r="I11" i="22" s="1"/>
  <c r="F10" i="22"/>
  <c r="F11" i="22" s="1"/>
  <c r="D10" i="22"/>
  <c r="D11" i="22" s="1"/>
  <c r="L10" i="22"/>
  <c r="L11" i="22"/>
  <c r="K10" i="22"/>
  <c r="K11" i="22"/>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<sst xmlns="http://schemas.openxmlformats.org/spreadsheetml/2006/main" count="16962" uniqueCount="1664">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</sst>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2">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9" fontId="5" fillId="0" borderId="0" xfId="304" applyNumberFormat="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C134" sqref="C134:G135"/>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5" t="s">
        <v>1445</v>
      </c>
      <c r="D1" s="245"/>
      <c r="E1" s="108"/>
      <c r="F1" s="47"/>
      <c r="G1" s="47"/>
      <c r="H1" s="47"/>
      <c r="I1" s="47"/>
      <c r="J1" s="47"/>
      <c r="K1" s="47"/>
      <c r="L1" s="47"/>
      <c r="M1" s="47"/>
      <c r="N1" s="47"/>
      <c r="O1" s="47"/>
      <c r="P1" s="47"/>
    </row>
    <row r="2" spans="1:17" ht="28.5" customHeight="1">
      <c r="A2" s="46"/>
      <c r="B2" s="46"/>
      <c r="C2" s="246" t="str">
        <f>+Entidad!B10</f>
        <v>LA ARGENTINA</v>
      </c>
      <c r="D2" s="246"/>
      <c r="E2" s="114"/>
      <c r="F2" s="47"/>
      <c r="G2" s="47"/>
      <c r="H2" s="47"/>
      <c r="I2" s="47"/>
      <c r="J2" s="47"/>
      <c r="K2" s="47"/>
      <c r="L2" s="47"/>
      <c r="M2" s="47"/>
      <c r="N2" s="47"/>
      <c r="O2" s="47"/>
      <c r="P2" s="47"/>
    </row>
    <row r="3" spans="1:17" ht="16.5">
      <c r="A3" s="46"/>
      <c r="B3" s="46"/>
      <c r="C3" s="247" t="s">
        <v>1389</v>
      </c>
      <c r="D3" s="247"/>
      <c r="E3" s="115"/>
      <c r="F3" s="47"/>
      <c r="G3" s="47"/>
      <c r="H3" s="47"/>
      <c r="I3" s="47"/>
      <c r="J3" s="47"/>
      <c r="K3" s="47"/>
      <c r="L3" s="47"/>
      <c r="M3" s="47"/>
      <c r="N3" s="47"/>
      <c r="O3" s="47"/>
      <c r="P3" s="47"/>
      <c r="Q3" s="229">
        <v>0.03</v>
      </c>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16853.376</v>
      </c>
      <c r="F5" s="12">
        <f t="shared" ref="F5" si="2">F6+F75</f>
        <v>16229.7067594</v>
      </c>
      <c r="G5" s="12">
        <f t="shared" ref="G5:P5" si="3">G6+G75</f>
        <v>14852.534890112001</v>
      </c>
      <c r="H5" s="12">
        <f t="shared" si="3"/>
        <v>14904.656782285459</v>
      </c>
      <c r="I5" s="12">
        <f t="shared" si="3"/>
        <v>14958.342331224125</v>
      </c>
      <c r="J5" s="12">
        <f t="shared" si="3"/>
        <v>15013.638446630946</v>
      </c>
      <c r="K5" s="12">
        <f t="shared" si="3"/>
        <v>15070.593445499977</v>
      </c>
      <c r="L5" s="12">
        <f t="shared" si="3"/>
        <v>15129.257094335075</v>
      </c>
      <c r="M5" s="12">
        <f t="shared" si="3"/>
        <v>15189.680652635228</v>
      </c>
      <c r="N5" s="12">
        <f t="shared" si="3"/>
        <v>15251.916917684386</v>
      </c>
      <c r="O5" s="12">
        <f t="shared" si="3"/>
        <v>15316.020270685014</v>
      </c>
      <c r="P5" s="12">
        <f t="shared" si="3"/>
        <v>15382.046724275666</v>
      </c>
      <c r="Q5" s="12">
        <f t="shared" ref="Q5" si="4">Q6+Q75</f>
        <v>15843.508126003939</v>
      </c>
    </row>
    <row r="6" spans="1:17">
      <c r="A6" s="14" t="s">
        <v>1392</v>
      </c>
      <c r="B6" s="14" t="s">
        <v>1395</v>
      </c>
      <c r="C6" s="11" t="s">
        <v>4</v>
      </c>
      <c r="D6" s="11" t="s">
        <v>144</v>
      </c>
      <c r="E6" s="13">
        <f t="shared" ref="E6" si="5">E7+E20+E23</f>
        <v>14176.905999999999</v>
      </c>
      <c r="F6" s="13">
        <f t="shared" ref="F6" si="6">F7+F20+F23</f>
        <v>14815.2094984</v>
      </c>
      <c r="G6" s="13">
        <f t="shared" ref="G6:P6" si="7">G7+G20+G23</f>
        <v>14851.632643882002</v>
      </c>
      <c r="H6" s="13">
        <f t="shared" si="7"/>
        <v>14903.72746866856</v>
      </c>
      <c r="I6" s="13">
        <f t="shared" si="7"/>
        <v>14957.385138198717</v>
      </c>
      <c r="J6" s="13">
        <f t="shared" si="7"/>
        <v>15012.652537814778</v>
      </c>
      <c r="K6" s="13">
        <f t="shared" si="7"/>
        <v>15069.577959419323</v>
      </c>
      <c r="L6" s="13">
        <f t="shared" si="7"/>
        <v>15128.211143672001</v>
      </c>
      <c r="M6" s="13">
        <f t="shared" si="7"/>
        <v>15188.603323452262</v>
      </c>
      <c r="N6" s="13">
        <f t="shared" si="7"/>
        <v>15250.807268625931</v>
      </c>
      <c r="O6" s="13">
        <f t="shared" si="7"/>
        <v>15314.877332154805</v>
      </c>
      <c r="P6" s="13">
        <f t="shared" si="7"/>
        <v>15380.869497589551</v>
      </c>
      <c r="Q6" s="13">
        <f t="shared" ref="Q6" si="8">Q7+Q20+Q23</f>
        <v>15842.295582517239</v>
      </c>
    </row>
    <row r="7" spans="1:17">
      <c r="A7" s="14" t="s">
        <v>1392</v>
      </c>
      <c r="B7" s="14" t="s">
        <v>1395</v>
      </c>
      <c r="C7" s="11" t="s">
        <v>5</v>
      </c>
      <c r="D7" s="11" t="s">
        <v>145</v>
      </c>
      <c r="E7" s="13">
        <f t="shared" ref="E7" si="9">SUM(E8:E19)</f>
        <v>1015.178</v>
      </c>
      <c r="F7" s="13">
        <f t="shared" ref="F7" si="10">SUM(F8:F19)</f>
        <v>868.55201599999998</v>
      </c>
      <c r="G7" s="13">
        <f t="shared" ref="G7:P7" si="11">SUM(G8:G19)</f>
        <v>894.60857648000001</v>
      </c>
      <c r="H7" s="13">
        <f t="shared" si="11"/>
        <v>921.44683377440003</v>
      </c>
      <c r="I7" s="13">
        <f t="shared" si="11"/>
        <v>949.09023878763207</v>
      </c>
      <c r="J7" s="13">
        <f t="shared" si="11"/>
        <v>977.5629459512611</v>
      </c>
      <c r="K7" s="13">
        <f t="shared" si="11"/>
        <v>1006.8898343297988</v>
      </c>
      <c r="L7" s="13">
        <f t="shared" si="11"/>
        <v>1037.0965293596928</v>
      </c>
      <c r="M7" s="13">
        <f t="shared" si="11"/>
        <v>1068.2094252404836</v>
      </c>
      <c r="N7" s="13">
        <f t="shared" si="11"/>
        <v>1100.2557079976982</v>
      </c>
      <c r="O7" s="13">
        <f t="shared" si="11"/>
        <v>1133.2633792376291</v>
      </c>
      <c r="P7" s="13">
        <f t="shared" si="11"/>
        <v>1167.2612806147581</v>
      </c>
      <c r="Q7" s="13">
        <f t="shared" ref="Q7" si="12">SUM(Q8:Q19)</f>
        <v>1202.2791190332009</v>
      </c>
    </row>
    <row r="8" spans="1:17">
      <c r="A8" s="14" t="s">
        <v>119</v>
      </c>
      <c r="B8" s="14" t="s">
        <v>1396</v>
      </c>
      <c r="C8" s="14" t="s">
        <v>6</v>
      </c>
      <c r="D8" s="15" t="s">
        <v>146</v>
      </c>
      <c r="E8" s="34">
        <f>IFERROR(VLOOKUP(Entidad!$B$12&amp;"-"&amp;'Plan Financiero'!$C8,DAF_BalanceFinancieroVA!$A$2:$H$2926,8,FALSE),0)</f>
        <v>0</v>
      </c>
      <c r="F8" s="48">
        <v>0</v>
      </c>
      <c r="G8" s="48">
        <v>0</v>
      </c>
      <c r="H8" s="48">
        <v>0</v>
      </c>
      <c r="I8" s="48">
        <v>0</v>
      </c>
      <c r="J8" s="48">
        <v>0</v>
      </c>
      <c r="K8" s="48">
        <v>0</v>
      </c>
      <c r="L8" s="48">
        <v>0</v>
      </c>
      <c r="M8" s="48">
        <v>0</v>
      </c>
      <c r="N8" s="48">
        <v>0</v>
      </c>
      <c r="O8" s="48">
        <v>0</v>
      </c>
      <c r="P8" s="48">
        <v>0</v>
      </c>
      <c r="Q8" s="48">
        <f>IF($F$1="NO","",P8*(1+$Q$3))</f>
        <v>0</v>
      </c>
    </row>
    <row r="9" spans="1:17">
      <c r="A9" s="14" t="s">
        <v>119</v>
      </c>
      <c r="B9" s="14" t="s">
        <v>1396</v>
      </c>
      <c r="C9" s="14" t="s">
        <v>7</v>
      </c>
      <c r="D9" s="15" t="s">
        <v>147</v>
      </c>
      <c r="E9" s="34">
        <f>IFERROR(VLOOKUP(Entidad!$B$12&amp;"-"&amp;'Plan Financiero'!$C9,DAF_BalanceFinancieroVA!$A$2:$H$2926,8,FALSE),0)</f>
        <v>122.819</v>
      </c>
      <c r="F9" s="48">
        <v>93.817206999999996</v>
      </c>
      <c r="G9" s="48">
        <v>96.631723210000004</v>
      </c>
      <c r="H9" s="48">
        <v>99.530674906300007</v>
      </c>
      <c r="I9" s="48">
        <v>102.51659515348901</v>
      </c>
      <c r="J9" s="48">
        <v>105.59209300809368</v>
      </c>
      <c r="K9" s="48">
        <v>108.7598557983365</v>
      </c>
      <c r="L9" s="48">
        <v>112.0226514722866</v>
      </c>
      <c r="M9" s="48">
        <v>115.3833310164552</v>
      </c>
      <c r="N9" s="48">
        <v>118.84483094694886</v>
      </c>
      <c r="O9" s="48">
        <v>122.41017587535733</v>
      </c>
      <c r="P9" s="48">
        <v>126.08248115161805</v>
      </c>
      <c r="Q9" s="48">
        <f t="shared" ref="Q9:Q22" si="13">IF($F$1="NO","",P9*(1+$Q$3))</f>
        <v>129.86495558616659</v>
      </c>
    </row>
    <row r="10" spans="1:17">
      <c r="A10" s="14" t="s">
        <v>119</v>
      </c>
      <c r="B10" s="14" t="s">
        <v>1396</v>
      </c>
      <c r="C10" s="14" t="s">
        <v>8</v>
      </c>
      <c r="D10" s="15" t="s">
        <v>148</v>
      </c>
      <c r="E10" s="34">
        <f>IFERROR(VLOOKUP(Entidad!$B$12&amp;"-"&amp;'Plan Financiero'!$C10,DAF_BalanceFinancieroVA!$A$2:$H$2926,8,FALSE),0)</f>
        <v>121.209</v>
      </c>
      <c r="F10" s="48">
        <v>100.20050000000001</v>
      </c>
      <c r="G10" s="48">
        <v>103.206515</v>
      </c>
      <c r="H10" s="48">
        <v>106.30271044999999</v>
      </c>
      <c r="I10" s="48">
        <v>109.49179176349999</v>
      </c>
      <c r="J10" s="48">
        <v>112.77654551640499</v>
      </c>
      <c r="K10" s="48">
        <v>116.15984188189715</v>
      </c>
      <c r="L10" s="48">
        <v>119.64463713835407</v>
      </c>
      <c r="M10" s="48">
        <v>123.23397625250469</v>
      </c>
      <c r="N10" s="48">
        <v>126.93099554007983</v>
      </c>
      <c r="O10" s="48">
        <v>130.73892540628222</v>
      </c>
      <c r="P10" s="48">
        <v>134.6610931684707</v>
      </c>
      <c r="Q10" s="48">
        <f t="shared" si="13"/>
        <v>138.70092596352484</v>
      </c>
    </row>
    <row r="11" spans="1:17">
      <c r="A11" s="14" t="s">
        <v>119</v>
      </c>
      <c r="B11" s="14" t="s">
        <v>1396</v>
      </c>
      <c r="C11" s="14" t="s">
        <v>9</v>
      </c>
      <c r="D11" s="15" t="s">
        <v>149</v>
      </c>
      <c r="E11" s="34">
        <f>IFERROR(VLOOKUP(Entidad!$B$12&amp;"-"&amp;'Plan Financiero'!$C11,DAF_BalanceFinancieroVA!$A$2:$H$2926,8,FALSE),0)</f>
        <v>0</v>
      </c>
      <c r="F11" s="48">
        <v>0</v>
      </c>
      <c r="G11" s="48">
        <v>0</v>
      </c>
      <c r="H11" s="48">
        <v>0</v>
      </c>
      <c r="I11" s="48">
        <v>0</v>
      </c>
      <c r="J11" s="48">
        <v>0</v>
      </c>
      <c r="K11" s="48">
        <v>0</v>
      </c>
      <c r="L11" s="48">
        <v>0</v>
      </c>
      <c r="M11" s="48">
        <v>0</v>
      </c>
      <c r="N11" s="48">
        <v>0</v>
      </c>
      <c r="O11" s="48">
        <v>0</v>
      </c>
      <c r="P11" s="48">
        <v>0</v>
      </c>
      <c r="Q11" s="48">
        <f t="shared" si="13"/>
        <v>0</v>
      </c>
    </row>
    <row r="12" spans="1:17">
      <c r="A12" s="14" t="s">
        <v>119</v>
      </c>
      <c r="B12" s="14" t="s">
        <v>1396</v>
      </c>
      <c r="C12" s="14" t="s">
        <v>10</v>
      </c>
      <c r="D12" s="15" t="s">
        <v>150</v>
      </c>
      <c r="E12" s="34">
        <f>IFERROR(VLOOKUP(Entidad!$B$12&amp;"-"&amp;'Plan Financiero'!$C12,DAF_BalanceFinancieroVA!$A$2:$H$2926,8,FALSE),0)</f>
        <v>0</v>
      </c>
      <c r="F12" s="48">
        <v>0</v>
      </c>
      <c r="G12" s="48">
        <v>0</v>
      </c>
      <c r="H12" s="48">
        <v>0</v>
      </c>
      <c r="I12" s="48">
        <v>0</v>
      </c>
      <c r="J12" s="48">
        <v>0</v>
      </c>
      <c r="K12" s="48">
        <v>0</v>
      </c>
      <c r="L12" s="48">
        <v>0</v>
      </c>
      <c r="M12" s="48">
        <v>0</v>
      </c>
      <c r="N12" s="48">
        <v>0</v>
      </c>
      <c r="O12" s="48">
        <v>0</v>
      </c>
      <c r="P12" s="48">
        <v>0</v>
      </c>
      <c r="Q12" s="48">
        <f t="shared" si="13"/>
        <v>0</v>
      </c>
    </row>
    <row r="13" spans="1:17">
      <c r="A13" s="14" t="s">
        <v>119</v>
      </c>
      <c r="B13" s="14" t="s">
        <v>1396</v>
      </c>
      <c r="C13" s="14" t="s">
        <v>11</v>
      </c>
      <c r="D13" s="15" t="s">
        <v>151</v>
      </c>
      <c r="E13" s="34">
        <f>IFERROR(VLOOKUP(Entidad!$B$12&amp;"-"&amp;'Plan Financiero'!$C13,DAF_BalanceFinancieroVA!$A$2:$H$2926,8,FALSE),0)</f>
        <v>0</v>
      </c>
      <c r="F13" s="48">
        <v>0</v>
      </c>
      <c r="G13" s="48">
        <v>0</v>
      </c>
      <c r="H13" s="48">
        <v>0</v>
      </c>
      <c r="I13" s="48">
        <v>0</v>
      </c>
      <c r="J13" s="48">
        <v>0</v>
      </c>
      <c r="K13" s="48">
        <v>0</v>
      </c>
      <c r="L13" s="48">
        <v>0</v>
      </c>
      <c r="M13" s="48">
        <v>0</v>
      </c>
      <c r="N13" s="48">
        <v>0</v>
      </c>
      <c r="O13" s="48">
        <v>0</v>
      </c>
      <c r="P13" s="48">
        <v>0</v>
      </c>
      <c r="Q13" s="48">
        <f t="shared" si="13"/>
        <v>0</v>
      </c>
    </row>
    <row r="14" spans="1:17">
      <c r="A14" s="14" t="s">
        <v>119</v>
      </c>
      <c r="B14" s="14" t="s">
        <v>1396</v>
      </c>
      <c r="C14" s="14" t="s">
        <v>12</v>
      </c>
      <c r="D14" s="15" t="s">
        <v>152</v>
      </c>
      <c r="E14" s="34">
        <f>IFERROR(VLOOKUP(Entidad!$B$12&amp;"-"&amp;'Plan Financiero'!$C14,DAF_BalanceFinancieroVA!$A$2:$H$2926,8,FALSE),0)</f>
        <v>0</v>
      </c>
      <c r="F14" s="48">
        <v>0</v>
      </c>
      <c r="G14" s="48">
        <v>0</v>
      </c>
      <c r="H14" s="48">
        <v>0</v>
      </c>
      <c r="I14" s="48">
        <v>0</v>
      </c>
      <c r="J14" s="48">
        <v>0</v>
      </c>
      <c r="K14" s="48">
        <v>0</v>
      </c>
      <c r="L14" s="48">
        <v>0</v>
      </c>
      <c r="M14" s="48">
        <v>0</v>
      </c>
      <c r="N14" s="48">
        <v>0</v>
      </c>
      <c r="O14" s="48">
        <v>0</v>
      </c>
      <c r="P14" s="48">
        <v>0</v>
      </c>
      <c r="Q14" s="48">
        <f t="shared" si="13"/>
        <v>0</v>
      </c>
    </row>
    <row r="15" spans="1:17">
      <c r="A15" s="14" t="s">
        <v>119</v>
      </c>
      <c r="B15" s="14" t="s">
        <v>1396</v>
      </c>
      <c r="C15" s="14" t="s">
        <v>13</v>
      </c>
      <c r="D15" s="15" t="s">
        <v>153</v>
      </c>
      <c r="E15" s="34">
        <f>IFERROR(VLOOKUP(Entidad!$B$12&amp;"-"&amp;'Plan Financiero'!$C15,DAF_BalanceFinancieroVA!$A$2:$H$2926,8,FALSE),0)</f>
        <v>265.495</v>
      </c>
      <c r="F15" s="48">
        <v>270</v>
      </c>
      <c r="G15" s="48">
        <v>278.10000000000002</v>
      </c>
      <c r="H15" s="48">
        <v>286.44300000000004</v>
      </c>
      <c r="I15" s="48">
        <v>295.03629000000006</v>
      </c>
      <c r="J15" s="48">
        <v>303.88737870000006</v>
      </c>
      <c r="K15" s="48">
        <v>313.00400006100006</v>
      </c>
      <c r="L15" s="48">
        <v>322.39412006283004</v>
      </c>
      <c r="M15" s="48">
        <v>332.06594366471495</v>
      </c>
      <c r="N15" s="48">
        <v>342.02792197465641</v>
      </c>
      <c r="O15" s="48">
        <v>352.28875963389612</v>
      </c>
      <c r="P15" s="48">
        <v>362.85742242291303</v>
      </c>
      <c r="Q15" s="48">
        <f t="shared" si="13"/>
        <v>373.74314509560043</v>
      </c>
    </row>
    <row r="16" spans="1:17">
      <c r="A16" s="14" t="s">
        <v>119</v>
      </c>
      <c r="B16" s="14" t="s">
        <v>1396</v>
      </c>
      <c r="C16" s="14" t="s">
        <v>14</v>
      </c>
      <c r="D16" s="15" t="s">
        <v>154</v>
      </c>
      <c r="E16" s="34">
        <f>IFERROR(VLOOKUP(Entidad!$B$12&amp;"-"&amp;'Plan Financiero'!$C16,DAF_BalanceFinancieroVA!$A$2:$H$2926,8,FALSE),0)</f>
        <v>293.584</v>
      </c>
      <c r="F16" s="48">
        <v>173.082224</v>
      </c>
      <c r="G16" s="48">
        <v>178.27469072000002</v>
      </c>
      <c r="H16" s="48">
        <v>183.62293144160003</v>
      </c>
      <c r="I16" s="48">
        <v>189.13161938484802</v>
      </c>
      <c r="J16" s="48">
        <v>194.80556796639345</v>
      </c>
      <c r="K16" s="48">
        <v>200.64973500538525</v>
      </c>
      <c r="L16" s="48">
        <v>206.66922705554683</v>
      </c>
      <c r="M16" s="48">
        <v>212.86930386721323</v>
      </c>
      <c r="N16" s="48">
        <v>219.25538298322962</v>
      </c>
      <c r="O16" s="48">
        <v>225.83304447272653</v>
      </c>
      <c r="P16" s="48">
        <v>232.60803580690833</v>
      </c>
      <c r="Q16" s="48">
        <f t="shared" si="13"/>
        <v>239.58627688111559</v>
      </c>
    </row>
    <row r="17" spans="1:17">
      <c r="A17" s="14" t="s">
        <v>119</v>
      </c>
      <c r="B17" s="14" t="s">
        <v>1396</v>
      </c>
      <c r="C17" s="14" t="s">
        <v>155</v>
      </c>
      <c r="D17" s="15" t="s">
        <v>156</v>
      </c>
      <c r="E17" s="34">
        <f>IFERROR(VLOOKUP(Entidad!$B$12&amp;"-"&amp;'Plan Financiero'!$C17,DAF_BalanceFinancieroVA!$A$2:$H$2926,8,FALSE),0)</f>
        <v>0</v>
      </c>
      <c r="F17" s="48">
        <v>0</v>
      </c>
      <c r="G17" s="48">
        <v>0</v>
      </c>
      <c r="H17" s="48">
        <v>0</v>
      </c>
      <c r="I17" s="48">
        <v>0</v>
      </c>
      <c r="J17" s="48">
        <v>0</v>
      </c>
      <c r="K17" s="48">
        <v>0</v>
      </c>
      <c r="L17" s="48">
        <v>0</v>
      </c>
      <c r="M17" s="48">
        <v>0</v>
      </c>
      <c r="N17" s="48">
        <v>0</v>
      </c>
      <c r="O17" s="48">
        <v>0</v>
      </c>
      <c r="P17" s="48">
        <v>0</v>
      </c>
      <c r="Q17" s="48">
        <f t="shared" si="13"/>
        <v>0</v>
      </c>
    </row>
    <row r="18" spans="1:17">
      <c r="A18" s="14" t="s">
        <v>119</v>
      </c>
      <c r="B18" s="14" t="s">
        <v>1396</v>
      </c>
      <c r="C18" s="14" t="s">
        <v>157</v>
      </c>
      <c r="D18" s="15" t="s">
        <v>158</v>
      </c>
      <c r="E18" s="34">
        <f>IFERROR(VLOOKUP(Entidad!$B$12&amp;"-"&amp;'Plan Financiero'!$C18,DAF_BalanceFinancieroVA!$A$2:$H$2926,8,FALSE),0)</f>
        <v>0</v>
      </c>
      <c r="F18" s="48">
        <v>0</v>
      </c>
      <c r="G18" s="48">
        <v>0</v>
      </c>
      <c r="H18" s="48">
        <v>0</v>
      </c>
      <c r="I18" s="48">
        <v>0</v>
      </c>
      <c r="J18" s="48">
        <v>0</v>
      </c>
      <c r="K18" s="48">
        <v>0</v>
      </c>
      <c r="L18" s="48">
        <v>0</v>
      </c>
      <c r="M18" s="48">
        <v>0</v>
      </c>
      <c r="N18" s="48">
        <v>0</v>
      </c>
      <c r="O18" s="48">
        <v>0</v>
      </c>
      <c r="P18" s="48">
        <v>0</v>
      </c>
      <c r="Q18" s="48">
        <f t="shared" si="13"/>
        <v>0</v>
      </c>
    </row>
    <row r="19" spans="1:17">
      <c r="A19" s="14" t="s">
        <v>119</v>
      </c>
      <c r="B19" s="14" t="s">
        <v>1396</v>
      </c>
      <c r="C19" s="14" t="s">
        <v>15</v>
      </c>
      <c r="D19" s="15" t="s">
        <v>159</v>
      </c>
      <c r="E19" s="34">
        <f>IFERROR(VLOOKUP(Entidad!$B$12&amp;"-"&amp;'Plan Financiero'!$C19,DAF_BalanceFinancieroVA!$A$2:$H$2926,8,FALSE),0)</f>
        <v>212.071</v>
      </c>
      <c r="F19" s="48">
        <v>231.45208500000001</v>
      </c>
      <c r="G19" s="48">
        <v>238.39564754999998</v>
      </c>
      <c r="H19" s="48">
        <v>245.54751697649999</v>
      </c>
      <c r="I19" s="48">
        <v>252.91394248579499</v>
      </c>
      <c r="J19" s="48">
        <v>260.50136076036887</v>
      </c>
      <c r="K19" s="48">
        <v>268.31640158317992</v>
      </c>
      <c r="L19" s="48">
        <v>276.36589363067532</v>
      </c>
      <c r="M19" s="48">
        <v>284.65687043959559</v>
      </c>
      <c r="N19" s="48">
        <v>293.19657655278348</v>
      </c>
      <c r="O19" s="48">
        <v>301.992473849367</v>
      </c>
      <c r="P19" s="48">
        <v>311.05224806484802</v>
      </c>
      <c r="Q19" s="48">
        <f t="shared" si="13"/>
        <v>320.38381550679344</v>
      </c>
    </row>
    <row r="20" spans="1:17">
      <c r="A20" s="14" t="s">
        <v>1392</v>
      </c>
      <c r="B20" s="14" t="s">
        <v>1395</v>
      </c>
      <c r="C20" s="11" t="s">
        <v>16</v>
      </c>
      <c r="D20" s="11" t="s">
        <v>160</v>
      </c>
      <c r="E20" s="13">
        <f t="shared" ref="E20" si="14">SUM(E21:E22)</f>
        <v>87.293999999999997</v>
      </c>
      <c r="F20" s="13">
        <f t="shared" ref="F20" si="15">SUM(F21:F22)</f>
        <v>121.8616944</v>
      </c>
      <c r="G20" s="13">
        <f t="shared" ref="G20" si="16">SUM(G21:G22)</f>
        <v>110.179322232</v>
      </c>
      <c r="H20" s="13">
        <f t="shared" ref="H20:P20" si="17">SUM(H21:H22)</f>
        <v>113.48470189896001</v>
      </c>
      <c r="I20" s="13">
        <f t="shared" si="17"/>
        <v>116.88924295592881</v>
      </c>
      <c r="J20" s="13">
        <f t="shared" si="17"/>
        <v>120.39592024460669</v>
      </c>
      <c r="K20" s="13">
        <f t="shared" si="17"/>
        <v>124.00779785194489</v>
      </c>
      <c r="L20" s="13">
        <f t="shared" si="17"/>
        <v>127.72803178750324</v>
      </c>
      <c r="M20" s="13">
        <f t="shared" si="17"/>
        <v>131.55987274112834</v>
      </c>
      <c r="N20" s="13">
        <f t="shared" si="17"/>
        <v>135.50666892336218</v>
      </c>
      <c r="O20" s="13">
        <f t="shared" si="17"/>
        <v>139.57186899106307</v>
      </c>
      <c r="P20" s="13">
        <f t="shared" si="17"/>
        <v>143.75902506079495</v>
      </c>
      <c r="Q20" s="13">
        <f t="shared" ref="Q20" si="18">SUM(Q21:Q22)</f>
        <v>148.0717958126188</v>
      </c>
    </row>
    <row r="21" spans="1:17">
      <c r="A21" s="14" t="s">
        <v>119</v>
      </c>
      <c r="B21" s="14" t="s">
        <v>1396</v>
      </c>
      <c r="C21" s="14" t="s">
        <v>17</v>
      </c>
      <c r="D21" s="14" t="s">
        <v>161</v>
      </c>
      <c r="E21" s="34">
        <f>IFERROR(VLOOKUP(Entidad!$B$12&amp;"-"&amp;'Plan Financiero'!$C21,DAF_BalanceFinancieroVA!$A$2:$H$2926,8,FALSE),0)</f>
        <v>83.043999999999997</v>
      </c>
      <c r="F21" s="48">
        <v>104.0575944</v>
      </c>
      <c r="G21" s="48">
        <v>107.179322232</v>
      </c>
      <c r="H21" s="48">
        <v>110.39470189896001</v>
      </c>
      <c r="I21" s="48">
        <v>113.70654295592881</v>
      </c>
      <c r="J21" s="48">
        <v>117.11773924460668</v>
      </c>
      <c r="K21" s="48">
        <v>120.63127142194489</v>
      </c>
      <c r="L21" s="48">
        <v>124.25020956460324</v>
      </c>
      <c r="M21" s="48">
        <v>127.97771585154133</v>
      </c>
      <c r="N21" s="48">
        <v>131.81704732708758</v>
      </c>
      <c r="O21" s="48">
        <v>135.77155874690021</v>
      </c>
      <c r="P21" s="48">
        <v>139.84470550930723</v>
      </c>
      <c r="Q21" s="48">
        <f t="shared" si="13"/>
        <v>144.04004667458645</v>
      </c>
    </row>
    <row r="22" spans="1:17">
      <c r="A22" s="14" t="s">
        <v>119</v>
      </c>
      <c r="B22" s="14" t="s">
        <v>1396</v>
      </c>
      <c r="C22" s="14" t="s">
        <v>18</v>
      </c>
      <c r="D22" s="14" t="s">
        <v>162</v>
      </c>
      <c r="E22" s="34">
        <f>IFERROR(VLOOKUP(Entidad!$B$12&amp;"-"&amp;'Plan Financiero'!$C22,DAF_BalanceFinancieroVA!$A$2:$H$2926,8,FALSE),0)</f>
        <v>4.25</v>
      </c>
      <c r="F22" s="48">
        <v>17.804099999999998</v>
      </c>
      <c r="G22" s="48">
        <v>3</v>
      </c>
      <c r="H22" s="48">
        <v>3.09</v>
      </c>
      <c r="I22" s="48">
        <v>3.1827000000000001</v>
      </c>
      <c r="J22" s="48">
        <v>3.278181</v>
      </c>
      <c r="K22" s="48">
        <v>3.3765264300000002</v>
      </c>
      <c r="L22" s="48">
        <v>3.4778222229000004</v>
      </c>
      <c r="M22" s="48">
        <v>3.5821568895870004</v>
      </c>
      <c r="N22" s="48">
        <v>3.6896215962746104</v>
      </c>
      <c r="O22" s="48">
        <v>3.8003102441628487</v>
      </c>
      <c r="P22" s="48">
        <v>3.914319551487734</v>
      </c>
      <c r="Q22" s="48">
        <f t="shared" si="13"/>
        <v>4.0317491380323665</v>
      </c>
    </row>
    <row r="23" spans="1:17">
      <c r="A23" s="14" t="s">
        <v>1392</v>
      </c>
      <c r="B23" s="14" t="s">
        <v>1395</v>
      </c>
      <c r="C23" s="11" t="s">
        <v>19</v>
      </c>
      <c r="D23" s="11" t="s">
        <v>163</v>
      </c>
      <c r="E23" s="13">
        <f t="shared" ref="E23" si="19">E24+E32</f>
        <v>13074.433999999999</v>
      </c>
      <c r="F23" s="13">
        <f t="shared" ref="F23" si="20">F24+F32</f>
        <v>13824.795787999999</v>
      </c>
      <c r="G23" s="13">
        <f t="shared" ref="G23:P23" si="21">G24+G32</f>
        <v>13846.844745170001</v>
      </c>
      <c r="H23" s="13">
        <f t="shared" si="21"/>
        <v>13868.795932995199</v>
      </c>
      <c r="I23" s="13">
        <f t="shared" si="21"/>
        <v>13891.405656455156</v>
      </c>
      <c r="J23" s="13">
        <f t="shared" si="21"/>
        <v>13914.69367161891</v>
      </c>
      <c r="K23" s="13">
        <f t="shared" si="21"/>
        <v>13938.680327237578</v>
      </c>
      <c r="L23" s="13">
        <f t="shared" si="21"/>
        <v>13963.386582524805</v>
      </c>
      <c r="M23" s="13">
        <f t="shared" si="21"/>
        <v>13988.834025470651</v>
      </c>
      <c r="N23" s="13">
        <f t="shared" si="21"/>
        <v>14015.044891704871</v>
      </c>
      <c r="O23" s="13">
        <f t="shared" si="21"/>
        <v>14042.042083926113</v>
      </c>
      <c r="P23" s="13">
        <f t="shared" si="21"/>
        <v>14069.849191913998</v>
      </c>
      <c r="Q23" s="13">
        <f t="shared" ref="Q23" si="22">Q24+Q32</f>
        <v>14491.94466767142</v>
      </c>
    </row>
    <row r="24" spans="1:17">
      <c r="A24" s="14" t="s">
        <v>1392</v>
      </c>
      <c r="B24" s="14" t="s">
        <v>1395</v>
      </c>
      <c r="C24" s="28" t="s">
        <v>20</v>
      </c>
      <c r="D24" s="28" t="s">
        <v>164</v>
      </c>
      <c r="E24" s="29">
        <f t="shared" ref="E24" si="23">E25+E28+E31</f>
        <v>1415.44</v>
      </c>
      <c r="F24" s="29">
        <f t="shared" ref="F24" si="24">F25+F28+F31</f>
        <v>1358.155434</v>
      </c>
      <c r="G24" s="29">
        <f t="shared" ref="G24:P24" si="25">G25+G28+G31</f>
        <v>1358.6772668399999</v>
      </c>
      <c r="H24" s="29">
        <f t="shared" si="25"/>
        <v>1359.2147546652</v>
      </c>
      <c r="I24" s="29">
        <f t="shared" si="25"/>
        <v>1359.7683671251559</v>
      </c>
      <c r="J24" s="29">
        <f t="shared" si="25"/>
        <v>1360.3385879589107</v>
      </c>
      <c r="K24" s="29">
        <f t="shared" si="25"/>
        <v>1360.925915417678</v>
      </c>
      <c r="L24" s="29">
        <f t="shared" si="25"/>
        <v>1361.5308627002082</v>
      </c>
      <c r="M24" s="29">
        <f t="shared" si="25"/>
        <v>1362.1539584012146</v>
      </c>
      <c r="N24" s="29">
        <f t="shared" si="25"/>
        <v>1362.795746973251</v>
      </c>
      <c r="O24" s="29">
        <f t="shared" si="25"/>
        <v>1363.4567892024486</v>
      </c>
      <c r="P24" s="29">
        <f t="shared" si="25"/>
        <v>1364.137662698522</v>
      </c>
      <c r="Q24" s="29">
        <f t="shared" ref="Q24" si="26">Q25+Q28+Q31</f>
        <v>1405.0617925794777</v>
      </c>
    </row>
    <row r="25" spans="1:17" s="27" customFormat="1">
      <c r="A25" s="14" t="s">
        <v>1392</v>
      </c>
      <c r="B25" s="14" t="s">
        <v>1395</v>
      </c>
      <c r="C25" s="28" t="s">
        <v>21</v>
      </c>
      <c r="D25" s="28" t="s">
        <v>165</v>
      </c>
      <c r="E25" s="29">
        <f t="shared" ref="E25" si="27">SUM(E26:E27)</f>
        <v>1399.7139999999999</v>
      </c>
      <c r="F25" s="29">
        <f t="shared" ref="F25" si="28">SUM(F26:F27)</f>
        <v>1340.761006</v>
      </c>
      <c r="G25" s="29">
        <f t="shared" ref="G25:P25" si="29">SUM(G26:G27)</f>
        <v>1340.761006</v>
      </c>
      <c r="H25" s="29">
        <f t="shared" si="29"/>
        <v>1340.761006</v>
      </c>
      <c r="I25" s="29">
        <f t="shared" si="29"/>
        <v>1340.761006</v>
      </c>
      <c r="J25" s="29">
        <f t="shared" si="29"/>
        <v>1340.761006</v>
      </c>
      <c r="K25" s="29">
        <f t="shared" si="29"/>
        <v>1340.761006</v>
      </c>
      <c r="L25" s="29">
        <f t="shared" si="29"/>
        <v>1340.761006</v>
      </c>
      <c r="M25" s="29">
        <f t="shared" si="29"/>
        <v>1340.761006</v>
      </c>
      <c r="N25" s="29">
        <f t="shared" si="29"/>
        <v>1340.761006</v>
      </c>
      <c r="O25" s="29">
        <f t="shared" si="29"/>
        <v>1340.761006</v>
      </c>
      <c r="P25" s="29">
        <f t="shared" si="29"/>
        <v>1340.761006</v>
      </c>
      <c r="Q25" s="29">
        <f t="shared" ref="Q25" si="30">SUM(Q26:Q27)</f>
        <v>1380.98383618</v>
      </c>
    </row>
    <row r="26" spans="1:17">
      <c r="A26" s="14" t="s">
        <v>119</v>
      </c>
      <c r="B26" s="14" t="s">
        <v>1396</v>
      </c>
      <c r="C26" s="14" t="s">
        <v>22</v>
      </c>
      <c r="D26" s="14" t="s">
        <v>166</v>
      </c>
      <c r="E26" s="34">
        <f>IFERROR(VLOOKUP(Entidad!$B$12&amp;"-"&amp;'Plan Financiero'!$C26,DAF_BalanceFinancieroVA!$A$2:$H$2926,8,FALSE),0)</f>
        <v>1399.7139999999999</v>
      </c>
      <c r="F26" s="48">
        <v>1340.761006</v>
      </c>
      <c r="G26" s="48">
        <v>1340.761006</v>
      </c>
      <c r="H26" s="48">
        <v>1340.761006</v>
      </c>
      <c r="I26" s="48">
        <v>1340.761006</v>
      </c>
      <c r="J26" s="48">
        <v>1340.761006</v>
      </c>
      <c r="K26" s="48">
        <v>1340.761006</v>
      </c>
      <c r="L26" s="48">
        <v>1340.761006</v>
      </c>
      <c r="M26" s="48">
        <v>1340.761006</v>
      </c>
      <c r="N26" s="48">
        <v>1340.761006</v>
      </c>
      <c r="O26" s="48">
        <v>1340.761006</v>
      </c>
      <c r="P26" s="48">
        <v>1340.761006</v>
      </c>
      <c r="Q26" s="48">
        <f t="shared" ref="Q26:Q31" si="31">IF($F$1="NO","",P26*(1+$Q$3))</f>
        <v>1380.98383618</v>
      </c>
    </row>
    <row r="27" spans="1:17">
      <c r="A27" s="14" t="s">
        <v>119</v>
      </c>
      <c r="B27" s="14" t="s">
        <v>1396</v>
      </c>
      <c r="C27" s="14" t="s">
        <v>23</v>
      </c>
      <c r="D27" s="14" t="s">
        <v>167</v>
      </c>
      <c r="E27" s="34">
        <f>IFERROR(VLOOKUP(Entidad!$B$12&amp;"-"&amp;'Plan Financiero'!$C27,DAF_BalanceFinancieroVA!$A$2:$H$2926,8,FALSE),0)</f>
        <v>0</v>
      </c>
      <c r="F27" s="48">
        <v>0</v>
      </c>
      <c r="G27" s="48">
        <v>0</v>
      </c>
      <c r="H27" s="48">
        <v>0</v>
      </c>
      <c r="I27" s="48">
        <v>0</v>
      </c>
      <c r="J27" s="48">
        <v>0</v>
      </c>
      <c r="K27" s="48">
        <v>0</v>
      </c>
      <c r="L27" s="48">
        <v>0</v>
      </c>
      <c r="M27" s="48">
        <v>0</v>
      </c>
      <c r="N27" s="48">
        <v>0</v>
      </c>
      <c r="O27" s="48">
        <v>0</v>
      </c>
      <c r="P27" s="48">
        <v>0</v>
      </c>
      <c r="Q27" s="48">
        <f t="shared" si="31"/>
        <v>0</v>
      </c>
    </row>
    <row r="28" spans="1:17" s="27" customFormat="1">
      <c r="A28" s="14" t="s">
        <v>1392</v>
      </c>
      <c r="B28" s="14" t="s">
        <v>1395</v>
      </c>
      <c r="C28" s="28" t="s">
        <v>168</v>
      </c>
      <c r="D28" s="28" t="s">
        <v>169</v>
      </c>
      <c r="E28" s="29">
        <f>+E29+E30</f>
        <v>15.726000000000001</v>
      </c>
      <c r="F28" s="29">
        <f t="shared" ref="F28" si="32">+F29+F30</f>
        <v>17.394427999999998</v>
      </c>
      <c r="G28" s="29">
        <f>SUM(G29:G30)</f>
        <v>17.91626084</v>
      </c>
      <c r="H28" s="29">
        <f>SUM(H29:H30)</f>
        <v>18.453748665200003</v>
      </c>
      <c r="I28" s="29">
        <f t="shared" ref="I28:P28" si="33">SUM(I29:I30)</f>
        <v>19.007361125156002</v>
      </c>
      <c r="J28" s="29">
        <f t="shared" si="33"/>
        <v>19.577581958910681</v>
      </c>
      <c r="K28" s="29">
        <f t="shared" si="33"/>
        <v>20.164909417678004</v>
      </c>
      <c r="L28" s="29">
        <f t="shared" si="33"/>
        <v>20.769856700208344</v>
      </c>
      <c r="M28" s="29">
        <f t="shared" si="33"/>
        <v>21.392952401214593</v>
      </c>
      <c r="N28" s="29">
        <f t="shared" si="33"/>
        <v>22.034740973251033</v>
      </c>
      <c r="O28" s="29">
        <f t="shared" si="33"/>
        <v>22.695783202448563</v>
      </c>
      <c r="P28" s="29">
        <f t="shared" si="33"/>
        <v>23.376656698522019</v>
      </c>
      <c r="Q28" s="29">
        <f t="shared" ref="Q28" si="34">SUM(Q29:Q30)</f>
        <v>24.077956399477682</v>
      </c>
    </row>
    <row r="29" spans="1:17">
      <c r="A29" s="14" t="s">
        <v>119</v>
      </c>
      <c r="B29" s="14" t="s">
        <v>1396</v>
      </c>
      <c r="C29" s="14" t="s">
        <v>24</v>
      </c>
      <c r="D29" s="14" t="s">
        <v>170</v>
      </c>
      <c r="E29" s="34">
        <f>IFERROR(VLOOKUP(Entidad!$B$12&amp;"-"&amp;'Plan Financiero'!$C29,DAF_BalanceFinancieroVA!$A$2:$H$2926,8,FALSE),0)</f>
        <v>8.5660000000000007</v>
      </c>
      <c r="F29" s="48">
        <v>9.4424279999999996</v>
      </c>
      <c r="G29" s="48">
        <v>9.72570084</v>
      </c>
      <c r="H29" s="48">
        <v>10.017471865200001</v>
      </c>
      <c r="I29" s="48">
        <v>10.317996021156</v>
      </c>
      <c r="J29" s="48">
        <v>10.627535901790681</v>
      </c>
      <c r="K29" s="48">
        <v>10.946361978844402</v>
      </c>
      <c r="L29" s="48">
        <v>11.274752838209734</v>
      </c>
      <c r="M29" s="48">
        <v>11.612995423356026</v>
      </c>
      <c r="N29" s="48">
        <v>11.961385286056707</v>
      </c>
      <c r="O29" s="48">
        <v>12.320226844638409</v>
      </c>
      <c r="P29" s="48">
        <v>12.689833649977562</v>
      </c>
      <c r="Q29" s="48">
        <f>IF($F$1="NO","",P29*(1+$Q$3))</f>
        <v>13.070528659476889</v>
      </c>
    </row>
    <row r="30" spans="1:17">
      <c r="A30" s="14" t="s">
        <v>119</v>
      </c>
      <c r="B30" s="14" t="s">
        <v>1396</v>
      </c>
      <c r="C30" s="14" t="s">
        <v>25</v>
      </c>
      <c r="D30" s="14" t="s">
        <v>171</v>
      </c>
      <c r="E30" s="34">
        <f>IFERROR(VLOOKUP(Entidad!$B$12&amp;"-"&amp;'Plan Financiero'!$C30,DAF_BalanceFinancieroVA!$A$2:$H$2926,8,FALSE),0)</f>
        <v>7.16</v>
      </c>
      <c r="F30" s="48">
        <v>7.952</v>
      </c>
      <c r="G30" s="48">
        <v>8.1905599999999996</v>
      </c>
      <c r="H30" s="48">
        <v>8.4362767999999999</v>
      </c>
      <c r="I30" s="48">
        <v>8.6893651040000002</v>
      </c>
      <c r="J30" s="48">
        <v>8.9500460571199998</v>
      </c>
      <c r="K30" s="48">
        <v>9.2185474388335997</v>
      </c>
      <c r="L30" s="48">
        <v>9.4951038619986079</v>
      </c>
      <c r="M30" s="48">
        <v>9.779956977858566</v>
      </c>
      <c r="N30" s="48">
        <v>10.073355687194324</v>
      </c>
      <c r="O30" s="48">
        <v>10.375556357810154</v>
      </c>
      <c r="P30" s="48">
        <v>10.68682304854446</v>
      </c>
      <c r="Q30" s="48">
        <f t="shared" si="31"/>
        <v>11.007427740000793</v>
      </c>
    </row>
    <row r="31" spans="1:17">
      <c r="A31" s="14" t="s">
        <v>119</v>
      </c>
      <c r="B31" s="14" t="s">
        <v>1396</v>
      </c>
      <c r="C31" s="14" t="s">
        <v>26</v>
      </c>
      <c r="D31" s="14" t="s">
        <v>172</v>
      </c>
      <c r="E31" s="34">
        <f>IFERROR(VLOOKUP(Entidad!$B$12&amp;"-"&amp;'Plan Financiero'!$C31,DAF_BalanceFinancieroVA!$A$2:$H$2926,8,FALSE),0)</f>
        <v>0</v>
      </c>
      <c r="F31" s="48">
        <v>0</v>
      </c>
      <c r="G31" s="48">
        <v>0</v>
      </c>
      <c r="H31" s="48">
        <v>0</v>
      </c>
      <c r="I31" s="48">
        <v>0</v>
      </c>
      <c r="J31" s="48">
        <v>0</v>
      </c>
      <c r="K31" s="48">
        <v>0</v>
      </c>
      <c r="L31" s="48">
        <v>0</v>
      </c>
      <c r="M31" s="48">
        <v>0</v>
      </c>
      <c r="N31" s="48">
        <v>0</v>
      </c>
      <c r="O31" s="48">
        <v>0</v>
      </c>
      <c r="P31" s="48">
        <v>0</v>
      </c>
      <c r="Q31" s="48">
        <f t="shared" si="31"/>
        <v>0</v>
      </c>
    </row>
    <row r="32" spans="1:17">
      <c r="A32" s="14" t="s">
        <v>1392</v>
      </c>
      <c r="B32" s="14" t="s">
        <v>1395</v>
      </c>
      <c r="C32" s="28" t="s">
        <v>27</v>
      </c>
      <c r="D32" s="28" t="s">
        <v>173</v>
      </c>
      <c r="E32" s="29">
        <f t="shared" ref="E32" si="35">E33+E42+E43+E44+E45+E46</f>
        <v>11658.993999999999</v>
      </c>
      <c r="F32" s="29">
        <f t="shared" ref="F32" si="36">F33+F42+F43+F44+F45+F46</f>
        <v>12466.640353999999</v>
      </c>
      <c r="G32" s="29">
        <f t="shared" ref="G32:P32" si="37">G33+G42+G43+G44+G45+G46</f>
        <v>12488.16747833</v>
      </c>
      <c r="H32" s="29">
        <f t="shared" si="37"/>
        <v>12509.58117833</v>
      </c>
      <c r="I32" s="29">
        <f t="shared" si="37"/>
        <v>12531.637289329999</v>
      </c>
      <c r="J32" s="29">
        <f t="shared" si="37"/>
        <v>12554.355083659999</v>
      </c>
      <c r="K32" s="29">
        <f t="shared" si="37"/>
        <v>12577.7544118199</v>
      </c>
      <c r="L32" s="29">
        <f t="shared" si="37"/>
        <v>12601.855719824596</v>
      </c>
      <c r="M32" s="29">
        <f t="shared" si="37"/>
        <v>12626.680067069436</v>
      </c>
      <c r="N32" s="29">
        <f t="shared" si="37"/>
        <v>12652.249144731619</v>
      </c>
      <c r="O32" s="29">
        <f t="shared" si="37"/>
        <v>12678.585294723665</v>
      </c>
      <c r="P32" s="29">
        <f t="shared" si="37"/>
        <v>12705.711529215476</v>
      </c>
      <c r="Q32" s="29">
        <f t="shared" ref="Q32" si="38">Q33+Q42+Q43+Q44+Q45+Q46</f>
        <v>13086.882875091942</v>
      </c>
    </row>
    <row r="33" spans="1:17" s="27" customFormat="1">
      <c r="A33" s="14" t="s">
        <v>1392</v>
      </c>
      <c r="B33" s="14" t="s">
        <v>1395</v>
      </c>
      <c r="C33" s="28" t="s">
        <v>28</v>
      </c>
      <c r="D33" s="28" t="s">
        <v>165</v>
      </c>
      <c r="E33" s="29">
        <f>E34+E40+E41</f>
        <v>11397.397999999999</v>
      </c>
      <c r="F33" s="29">
        <f t="shared" ref="F33" si="39">F34+F40+F41</f>
        <v>11841.640353999999</v>
      </c>
      <c r="G33" s="29">
        <f t="shared" ref="G33:P33" si="40">G34+G40+G41</f>
        <v>11844.41747833</v>
      </c>
      <c r="H33" s="29">
        <f t="shared" si="40"/>
        <v>11846.51867833</v>
      </c>
      <c r="I33" s="29">
        <f t="shared" si="40"/>
        <v>11848.68291433</v>
      </c>
      <c r="J33" s="29">
        <f t="shared" si="40"/>
        <v>11850.912077409999</v>
      </c>
      <c r="K33" s="29">
        <f t="shared" si="40"/>
        <v>11853.2081153824</v>
      </c>
      <c r="L33" s="29">
        <f t="shared" si="40"/>
        <v>11855.573034493971</v>
      </c>
      <c r="M33" s="29">
        <f t="shared" si="40"/>
        <v>11858.008901178891</v>
      </c>
      <c r="N33" s="29">
        <f t="shared" si="40"/>
        <v>11860.517843864358</v>
      </c>
      <c r="O33" s="29">
        <f t="shared" si="40"/>
        <v>11863.102054830388</v>
      </c>
      <c r="P33" s="29">
        <f t="shared" si="40"/>
        <v>11865.763792125399</v>
      </c>
      <c r="Q33" s="29">
        <f t="shared" ref="Q33" si="41">Q34+Q40+Q41</f>
        <v>12221.736705889163</v>
      </c>
    </row>
    <row r="34" spans="1:17" s="27" customFormat="1">
      <c r="A34" s="14" t="s">
        <v>1392</v>
      </c>
      <c r="B34" s="14" t="s">
        <v>1395</v>
      </c>
      <c r="C34" s="28" t="s">
        <v>29</v>
      </c>
      <c r="D34" s="28" t="s">
        <v>174</v>
      </c>
      <c r="E34" s="29">
        <f>SUM(E35:E39)</f>
        <v>7475.15</v>
      </c>
      <c r="F34" s="29">
        <f t="shared" ref="F34" si="42">SUM(F35:F39)</f>
        <v>7261.0695429999996</v>
      </c>
      <c r="G34" s="29">
        <f t="shared" ref="G34:P34" si="43">SUM(G35:G39)</f>
        <v>7261.0695429999996</v>
      </c>
      <c r="H34" s="29">
        <f t="shared" si="43"/>
        <v>7261.0695429999996</v>
      </c>
      <c r="I34" s="29">
        <f t="shared" si="43"/>
        <v>7261.0695429999996</v>
      </c>
      <c r="J34" s="29">
        <f t="shared" si="43"/>
        <v>7261.0695429999996</v>
      </c>
      <c r="K34" s="29">
        <f t="shared" si="43"/>
        <v>7261.0695429999996</v>
      </c>
      <c r="L34" s="29">
        <f t="shared" si="43"/>
        <v>7261.0695429999996</v>
      </c>
      <c r="M34" s="29">
        <f t="shared" si="43"/>
        <v>7261.0695429999996</v>
      </c>
      <c r="N34" s="29">
        <f t="shared" si="43"/>
        <v>7261.0695429999996</v>
      </c>
      <c r="O34" s="29">
        <f t="shared" si="43"/>
        <v>7261.0695429999996</v>
      </c>
      <c r="P34" s="29">
        <f t="shared" si="43"/>
        <v>7261.0695429999996</v>
      </c>
      <c r="Q34" s="29">
        <f t="shared" ref="Q34" si="44">SUM(Q35:Q39)</f>
        <v>7478.9016292900005</v>
      </c>
    </row>
    <row r="35" spans="1:17">
      <c r="A35" s="14" t="s">
        <v>119</v>
      </c>
      <c r="B35" s="14" t="s">
        <v>1396</v>
      </c>
      <c r="C35" s="14" t="s">
        <v>30</v>
      </c>
      <c r="D35" s="14" t="s">
        <v>175</v>
      </c>
      <c r="E35" s="34">
        <f>IFERROR(VLOOKUP(Entidad!$B$12&amp;"-"&amp;'Plan Financiero'!$C35,DAF_BalanceFinancieroVA!$A$2:$H$2926,8,FALSE),0)</f>
        <v>606.29100000000005</v>
      </c>
      <c r="F35" s="48">
        <v>476.70281399999999</v>
      </c>
      <c r="G35" s="48">
        <v>476.70281399999999</v>
      </c>
      <c r="H35" s="48">
        <v>476.70281399999999</v>
      </c>
      <c r="I35" s="48">
        <v>476.70281399999999</v>
      </c>
      <c r="J35" s="48">
        <v>476.70281399999999</v>
      </c>
      <c r="K35" s="48">
        <v>476.70281399999999</v>
      </c>
      <c r="L35" s="48">
        <v>476.70281399999999</v>
      </c>
      <c r="M35" s="48">
        <v>476.70281399999999</v>
      </c>
      <c r="N35" s="48">
        <v>476.70281399999999</v>
      </c>
      <c r="O35" s="48">
        <v>476.70281399999999</v>
      </c>
      <c r="P35" s="48">
        <v>476.70281399999999</v>
      </c>
      <c r="Q35" s="48">
        <f t="shared" ref="Q35:Q46" si="45">IF($F$1="NO","",P35*(1+$Q$3))</f>
        <v>491.00389841999998</v>
      </c>
    </row>
    <row r="36" spans="1:17">
      <c r="A36" s="14" t="s">
        <v>119</v>
      </c>
      <c r="B36" s="14" t="s">
        <v>1396</v>
      </c>
      <c r="C36" s="14" t="s">
        <v>31</v>
      </c>
      <c r="D36" s="14" t="s">
        <v>176</v>
      </c>
      <c r="E36" s="34">
        <f>IFERROR(VLOOKUP(Entidad!$B$12&amp;"-"&amp;'Plan Financiero'!$C36,DAF_BalanceFinancieroVA!$A$2:$H$2926,8,FALSE),0)</f>
        <v>3973.0619999999999</v>
      </c>
      <c r="F36" s="48">
        <v>4041.8266749999998</v>
      </c>
      <c r="G36" s="48">
        <v>4041.8266749999998</v>
      </c>
      <c r="H36" s="48">
        <v>4041.8266749999998</v>
      </c>
      <c r="I36" s="48">
        <v>4041.8266749999998</v>
      </c>
      <c r="J36" s="48">
        <v>4041.8266749999998</v>
      </c>
      <c r="K36" s="48">
        <v>4041.8266749999998</v>
      </c>
      <c r="L36" s="48">
        <v>4041.8266749999998</v>
      </c>
      <c r="M36" s="48">
        <v>4041.8266749999998</v>
      </c>
      <c r="N36" s="48">
        <v>4041.8266749999998</v>
      </c>
      <c r="O36" s="48">
        <v>4041.8266749999998</v>
      </c>
      <c r="P36" s="48">
        <v>4041.8266749999998</v>
      </c>
      <c r="Q36" s="48">
        <f t="shared" si="45"/>
        <v>4163.08147525</v>
      </c>
    </row>
    <row r="37" spans="1:17">
      <c r="A37" s="14" t="s">
        <v>119</v>
      </c>
      <c r="B37" s="14" t="s">
        <v>1396</v>
      </c>
      <c r="C37" s="14" t="s">
        <v>32</v>
      </c>
      <c r="D37" s="14" t="s">
        <v>177</v>
      </c>
      <c r="E37" s="34">
        <f>IFERROR(VLOOKUP(Entidad!$B$12&amp;"-"&amp;'Plan Financiero'!$C37,DAF_BalanceFinancieroVA!$A$2:$H$2926,8,FALSE),0)</f>
        <v>795.34799999999996</v>
      </c>
      <c r="F37" s="48">
        <v>798.35931300000004</v>
      </c>
      <c r="G37" s="48">
        <v>798.35931300000004</v>
      </c>
      <c r="H37" s="48">
        <v>798.35931300000004</v>
      </c>
      <c r="I37" s="48">
        <v>798.35931300000004</v>
      </c>
      <c r="J37" s="48">
        <v>798.35931300000004</v>
      </c>
      <c r="K37" s="48">
        <v>798.35931300000004</v>
      </c>
      <c r="L37" s="48">
        <v>798.35931300000004</v>
      </c>
      <c r="M37" s="48">
        <v>798.35931300000004</v>
      </c>
      <c r="N37" s="48">
        <v>798.35931300000004</v>
      </c>
      <c r="O37" s="48">
        <v>798.35931300000004</v>
      </c>
      <c r="P37" s="48">
        <v>798.35931300000004</v>
      </c>
      <c r="Q37" s="48">
        <f t="shared" si="45"/>
        <v>822.31009239000002</v>
      </c>
    </row>
    <row r="38" spans="1:17" s="5" customFormat="1">
      <c r="A38" s="14" t="s">
        <v>119</v>
      </c>
      <c r="B38" s="14" t="s">
        <v>1396</v>
      </c>
      <c r="C38" s="14" t="s">
        <v>33</v>
      </c>
      <c r="D38" s="14" t="s">
        <v>178</v>
      </c>
      <c r="E38" s="34">
        <f>IFERROR(VLOOKUP(Entidad!$B$12&amp;"-"&amp;'Plan Financiero'!$C38,DAF_BalanceFinancieroVA!$A$2:$H$2926,8,FALSE),0)</f>
        <v>1929.5530000000001</v>
      </c>
      <c r="F38" s="48">
        <v>1851.5271029999999</v>
      </c>
      <c r="G38" s="48">
        <v>1851.5271029999999</v>
      </c>
      <c r="H38" s="48">
        <v>1851.5271029999999</v>
      </c>
      <c r="I38" s="48">
        <v>1851.5271029999999</v>
      </c>
      <c r="J38" s="48">
        <v>1851.5271029999999</v>
      </c>
      <c r="K38" s="48">
        <v>1851.5271029999999</v>
      </c>
      <c r="L38" s="48">
        <v>1851.5271029999999</v>
      </c>
      <c r="M38" s="48">
        <v>1851.5271029999999</v>
      </c>
      <c r="N38" s="48">
        <v>1851.5271029999999</v>
      </c>
      <c r="O38" s="48">
        <v>1851.5271029999999</v>
      </c>
      <c r="P38" s="48">
        <v>1851.5271029999999</v>
      </c>
      <c r="Q38" s="48">
        <f t="shared" si="45"/>
        <v>1907.07291609</v>
      </c>
    </row>
    <row r="39" spans="1:17" s="5" customFormat="1">
      <c r="A39" s="14" t="s">
        <v>119</v>
      </c>
      <c r="B39" s="14" t="s">
        <v>1396</v>
      </c>
      <c r="C39" s="14" t="s">
        <v>34</v>
      </c>
      <c r="D39" s="14" t="s">
        <v>179</v>
      </c>
      <c r="E39" s="34">
        <f>IFERROR(VLOOKUP(Entidad!$B$12&amp;"-"&amp;'Plan Financiero'!$C39,DAF_BalanceFinancieroVA!$A$2:$H$2926,8,FALSE),0)</f>
        <v>170.89599999999999</v>
      </c>
      <c r="F39" s="48">
        <v>92.653638000000001</v>
      </c>
      <c r="G39" s="48">
        <v>92.653638000000001</v>
      </c>
      <c r="H39" s="48">
        <v>92.653638000000001</v>
      </c>
      <c r="I39" s="48">
        <v>92.653638000000001</v>
      </c>
      <c r="J39" s="48">
        <v>92.653638000000001</v>
      </c>
      <c r="K39" s="48">
        <v>92.653638000000001</v>
      </c>
      <c r="L39" s="48">
        <v>92.653638000000001</v>
      </c>
      <c r="M39" s="48">
        <v>92.653638000000001</v>
      </c>
      <c r="N39" s="48">
        <v>92.653638000000001</v>
      </c>
      <c r="O39" s="48">
        <v>92.653638000000001</v>
      </c>
      <c r="P39" s="48">
        <v>92.653638000000001</v>
      </c>
      <c r="Q39" s="48">
        <f t="shared" si="45"/>
        <v>95.433247140000006</v>
      </c>
    </row>
    <row r="40" spans="1:17">
      <c r="A40" s="14" t="s">
        <v>119</v>
      </c>
      <c r="B40" s="14" t="s">
        <v>1396</v>
      </c>
      <c r="C40" s="14" t="s">
        <v>35</v>
      </c>
      <c r="D40" s="14" t="s">
        <v>180</v>
      </c>
      <c r="E40" s="34">
        <f>IFERROR(VLOOKUP(Entidad!$B$12&amp;"-"&amp;'Plan Financiero'!$C40,DAF_BalanceFinancieroVA!$A$2:$H$2926,8,FALSE),0)</f>
        <v>3843.377</v>
      </c>
      <c r="F40" s="48">
        <v>4512.5708109999996</v>
      </c>
      <c r="G40" s="48">
        <v>4513.30793533</v>
      </c>
      <c r="H40" s="48">
        <v>4513.30793533</v>
      </c>
      <c r="I40" s="48">
        <v>4513.30793533</v>
      </c>
      <c r="J40" s="48">
        <v>4513.30793533</v>
      </c>
      <c r="K40" s="48">
        <v>4513.30793533</v>
      </c>
      <c r="L40" s="48">
        <v>4513.30793533</v>
      </c>
      <c r="M40" s="48">
        <v>4513.30793533</v>
      </c>
      <c r="N40" s="48">
        <v>4513.30793533</v>
      </c>
      <c r="O40" s="48">
        <v>4513.30793533</v>
      </c>
      <c r="P40" s="48">
        <v>4513.30793533</v>
      </c>
      <c r="Q40" s="48">
        <f t="shared" si="45"/>
        <v>4648.7071733899002</v>
      </c>
    </row>
    <row r="41" spans="1:17">
      <c r="A41" s="14" t="s">
        <v>119</v>
      </c>
      <c r="B41" s="14" t="s">
        <v>1396</v>
      </c>
      <c r="C41" s="14" t="s">
        <v>181</v>
      </c>
      <c r="D41" s="14" t="s">
        <v>167</v>
      </c>
      <c r="E41" s="34">
        <f>IFERROR(VLOOKUP(Entidad!$B$12&amp;"-"&amp;'Plan Financiero'!$C41,DAF_BalanceFinancieroVA!$A$2:$H$2926,8,FALSE),0)</f>
        <v>78.870999999999995</v>
      </c>
      <c r="F41" s="48">
        <v>68</v>
      </c>
      <c r="G41" s="48">
        <v>70.040000000000006</v>
      </c>
      <c r="H41" s="48">
        <v>72.141200000000012</v>
      </c>
      <c r="I41" s="48">
        <v>74.305436000000014</v>
      </c>
      <c r="J41" s="48">
        <v>76.534599080000021</v>
      </c>
      <c r="K41" s="48">
        <v>78.830637052400022</v>
      </c>
      <c r="L41" s="48">
        <v>81.195556163972029</v>
      </c>
      <c r="M41" s="48">
        <v>83.631422848891191</v>
      </c>
      <c r="N41" s="48">
        <v>86.140365534357926</v>
      </c>
      <c r="O41" s="48">
        <v>88.724576500388665</v>
      </c>
      <c r="P41" s="48">
        <v>91.386313795400326</v>
      </c>
      <c r="Q41" s="48">
        <f t="shared" si="45"/>
        <v>94.127903209262342</v>
      </c>
    </row>
    <row r="42" spans="1:17">
      <c r="A42" s="14" t="s">
        <v>119</v>
      </c>
      <c r="B42" s="14" t="s">
        <v>1396</v>
      </c>
      <c r="C42" s="14" t="s">
        <v>36</v>
      </c>
      <c r="D42" s="14" t="s">
        <v>169</v>
      </c>
      <c r="E42" s="34">
        <f>IFERROR(VLOOKUP(Entidad!$B$12&amp;"-"&amp;'Plan Financiero'!$C42,DAF_BalanceFinancieroVA!$A$2:$H$2926,8,FALSE),0)</f>
        <v>261.596</v>
      </c>
      <c r="F42" s="48">
        <v>625</v>
      </c>
      <c r="G42" s="48">
        <v>643.75</v>
      </c>
      <c r="H42" s="49">
        <v>663.0625</v>
      </c>
      <c r="I42" s="49">
        <v>682.95437500000003</v>
      </c>
      <c r="J42" s="49">
        <v>703.44300625000005</v>
      </c>
      <c r="K42" s="49">
        <v>724.54629643750002</v>
      </c>
      <c r="L42" s="49">
        <v>746.28268533062499</v>
      </c>
      <c r="M42" s="49">
        <v>768.67116589054376</v>
      </c>
      <c r="N42" s="49">
        <v>791.73130086726007</v>
      </c>
      <c r="O42" s="49">
        <v>815.48323989327787</v>
      </c>
      <c r="P42" s="49">
        <v>839.9477370900762</v>
      </c>
      <c r="Q42" s="48">
        <f t="shared" si="45"/>
        <v>865.14616920277854</v>
      </c>
    </row>
    <row r="43" spans="1:17">
      <c r="A43" s="14" t="s">
        <v>119</v>
      </c>
      <c r="B43" s="14" t="s">
        <v>1396</v>
      </c>
      <c r="C43" s="14" t="s">
        <v>37</v>
      </c>
      <c r="D43" s="14" t="s">
        <v>182</v>
      </c>
      <c r="E43" s="34">
        <f>IFERROR(VLOOKUP(Entidad!$B$12&amp;"-"&amp;'Plan Financiero'!$C43,DAF_BalanceFinancieroVA!$A$2:$H$2926,8,FALSE),0)</f>
        <v>0</v>
      </c>
      <c r="F43" s="48">
        <v>0</v>
      </c>
      <c r="G43" s="48">
        <v>0</v>
      </c>
      <c r="H43" s="49">
        <v>0</v>
      </c>
      <c r="I43" s="49">
        <v>0</v>
      </c>
      <c r="J43" s="49">
        <v>0</v>
      </c>
      <c r="K43" s="49">
        <v>0</v>
      </c>
      <c r="L43" s="49">
        <v>0</v>
      </c>
      <c r="M43" s="49">
        <v>0</v>
      </c>
      <c r="N43" s="49">
        <v>0</v>
      </c>
      <c r="O43" s="49">
        <v>0</v>
      </c>
      <c r="P43" s="49">
        <v>0</v>
      </c>
      <c r="Q43" s="48">
        <f t="shared" si="45"/>
        <v>0</v>
      </c>
    </row>
    <row r="44" spans="1:17">
      <c r="A44" s="14" t="s">
        <v>119</v>
      </c>
      <c r="B44" s="14" t="s">
        <v>1396</v>
      </c>
      <c r="C44" s="14" t="s">
        <v>143</v>
      </c>
      <c r="D44" s="14" t="s">
        <v>183</v>
      </c>
      <c r="E44" s="34">
        <f>IFERROR(VLOOKUP(Entidad!$B$12&amp;"-"&amp;'Plan Financiero'!$C44,DAF_BalanceFinancieroVA!$A$2:$H$2926,8,FALSE),0)</f>
        <v>0</v>
      </c>
      <c r="F44" s="48">
        <v>0</v>
      </c>
      <c r="G44" s="48">
        <v>0</v>
      </c>
      <c r="H44" s="49">
        <v>0</v>
      </c>
      <c r="I44" s="49">
        <v>0</v>
      </c>
      <c r="J44" s="49">
        <v>0</v>
      </c>
      <c r="K44" s="49">
        <v>0</v>
      </c>
      <c r="L44" s="49">
        <v>0</v>
      </c>
      <c r="M44" s="49">
        <v>0</v>
      </c>
      <c r="N44" s="49">
        <v>0</v>
      </c>
      <c r="O44" s="49">
        <v>0</v>
      </c>
      <c r="P44" s="49">
        <v>0</v>
      </c>
      <c r="Q44" s="48">
        <f t="shared" si="45"/>
        <v>0</v>
      </c>
    </row>
    <row r="45" spans="1:17">
      <c r="A45" s="14" t="s">
        <v>119</v>
      </c>
      <c r="B45" s="14" t="s">
        <v>1396</v>
      </c>
      <c r="C45" s="14" t="s">
        <v>184</v>
      </c>
      <c r="D45" s="14" t="s">
        <v>185</v>
      </c>
      <c r="E45" s="34">
        <f>IFERROR(VLOOKUP(Entidad!$B$12&amp;"-"&amp;'Plan Financiero'!$C45,DAF_BalanceFinancieroVA!$A$2:$H$2926,8,FALSE),0)</f>
        <v>0</v>
      </c>
      <c r="F45" s="48">
        <v>0</v>
      </c>
      <c r="G45" s="48">
        <v>0</v>
      </c>
      <c r="H45" s="49">
        <v>0</v>
      </c>
      <c r="I45" s="49">
        <v>0</v>
      </c>
      <c r="J45" s="49">
        <v>0</v>
      </c>
      <c r="K45" s="49">
        <v>0</v>
      </c>
      <c r="L45" s="49">
        <v>0</v>
      </c>
      <c r="M45" s="49">
        <v>0</v>
      </c>
      <c r="N45" s="49">
        <v>0</v>
      </c>
      <c r="O45" s="49">
        <v>0</v>
      </c>
      <c r="P45" s="49">
        <v>0</v>
      </c>
      <c r="Q45" s="48">
        <f t="shared" si="45"/>
        <v>0</v>
      </c>
    </row>
    <row r="46" spans="1:17">
      <c r="A46" s="14" t="s">
        <v>119</v>
      </c>
      <c r="B46" s="14" t="s">
        <v>1396</v>
      </c>
      <c r="C46" s="14" t="s">
        <v>186</v>
      </c>
      <c r="D46" s="14" t="s">
        <v>187</v>
      </c>
      <c r="E46" s="34">
        <f>IFERROR(VLOOKUP(Entidad!$B$12&amp;"-"&amp;'Plan Financiero'!$C46,DAF_BalanceFinancieroVA!$A$2:$H$2926,8,FALSE),0)</f>
        <v>0</v>
      </c>
      <c r="F46" s="48">
        <v>0</v>
      </c>
      <c r="G46" s="48">
        <v>0</v>
      </c>
      <c r="H46" s="49">
        <v>0</v>
      </c>
      <c r="I46" s="49">
        <v>0</v>
      </c>
      <c r="J46" s="49">
        <v>0</v>
      </c>
      <c r="K46" s="49">
        <v>0</v>
      </c>
      <c r="L46" s="49">
        <v>0</v>
      </c>
      <c r="M46" s="49">
        <v>0</v>
      </c>
      <c r="N46" s="49">
        <v>0</v>
      </c>
      <c r="O46" s="49">
        <v>0</v>
      </c>
      <c r="P46" s="49">
        <v>0</v>
      </c>
      <c r="Q46" s="48">
        <f t="shared" si="45"/>
        <v>0</v>
      </c>
    </row>
    <row r="47" spans="1:17">
      <c r="A47" s="14" t="s">
        <v>1392</v>
      </c>
      <c r="B47" s="14" t="s">
        <v>1395</v>
      </c>
      <c r="C47" s="11" t="s">
        <v>38</v>
      </c>
      <c r="D47" s="11" t="s">
        <v>39</v>
      </c>
      <c r="E47" s="13">
        <f t="shared" ref="E47" si="46">E48+E87</f>
        <v>18251.044999999998</v>
      </c>
      <c r="F47" s="13">
        <f t="shared" ref="F47" si="47">F48+F87</f>
        <v>18105.811005425003</v>
      </c>
      <c r="G47" s="13">
        <f t="shared" ref="G47:P47" si="48">G48+G87</f>
        <v>15369.319192450952</v>
      </c>
      <c r="H47" s="13">
        <f t="shared" si="48"/>
        <v>14337.086902548481</v>
      </c>
      <c r="I47" s="13">
        <f t="shared" si="48"/>
        <v>14466.382787995686</v>
      </c>
      <c r="J47" s="13">
        <f t="shared" si="48"/>
        <v>14739.61111806852</v>
      </c>
      <c r="K47" s="13">
        <f t="shared" si="48"/>
        <v>14779.958835734695</v>
      </c>
      <c r="L47" s="13">
        <f t="shared" si="48"/>
        <v>14903.471075888265</v>
      </c>
      <c r="M47" s="13">
        <f t="shared" si="48"/>
        <v>14953.955748784283</v>
      </c>
      <c r="N47" s="13">
        <f t="shared" si="48"/>
        <v>15138.32131851876</v>
      </c>
      <c r="O47" s="13">
        <f t="shared" si="48"/>
        <v>15290.990336045214</v>
      </c>
      <c r="P47" s="13">
        <f t="shared" si="48"/>
        <v>15369.057835690624</v>
      </c>
      <c r="Q47" s="13">
        <f t="shared" ref="Q47" si="49">Q48+Q87</f>
        <v>15830.129570761343</v>
      </c>
    </row>
    <row r="48" spans="1:17">
      <c r="A48" s="14" t="s">
        <v>1392</v>
      </c>
      <c r="B48" s="14" t="s">
        <v>1395</v>
      </c>
      <c r="C48" s="11" t="s">
        <v>40</v>
      </c>
      <c r="D48" s="11" t="s">
        <v>188</v>
      </c>
      <c r="E48" s="13">
        <f t="shared" ref="E48" si="50">E49+E63+E64+E65+E71</f>
        <v>12301.99</v>
      </c>
      <c r="F48" s="13">
        <f t="shared" ref="F48" si="51">F49+F63+F64+F65+F71</f>
        <v>12485.620895455002</v>
      </c>
      <c r="G48" s="13">
        <f t="shared" ref="G48:P48" si="52">G49+G63+G64+G65+G71</f>
        <v>12587.708330565951</v>
      </c>
      <c r="H48" s="13">
        <f t="shared" si="52"/>
        <v>11773.976319365131</v>
      </c>
      <c r="I48" s="13">
        <f t="shared" si="52"/>
        <v>12093.513266493384</v>
      </c>
      <c r="J48" s="13">
        <f t="shared" si="52"/>
        <v>12319.284206136172</v>
      </c>
      <c r="K48" s="13">
        <f t="shared" si="52"/>
        <v>12339.318715215652</v>
      </c>
      <c r="L48" s="13">
        <f t="shared" si="52"/>
        <v>12428.064817784816</v>
      </c>
      <c r="M48" s="13">
        <f t="shared" si="52"/>
        <v>12457.415628467237</v>
      </c>
      <c r="N48" s="13">
        <f t="shared" si="52"/>
        <v>12606.037527269607</v>
      </c>
      <c r="O48" s="13">
        <f t="shared" si="52"/>
        <v>12722.389871760057</v>
      </c>
      <c r="P48" s="13">
        <f t="shared" si="52"/>
        <v>12875.69477319647</v>
      </c>
      <c r="Q48" s="13">
        <f t="shared" ref="Q48" si="53">Q49+Q63+Q64+Q65+Q71</f>
        <v>13261.965616392365</v>
      </c>
    </row>
    <row r="49" spans="1:17">
      <c r="A49" s="14" t="s">
        <v>1392</v>
      </c>
      <c r="B49" s="14" t="s">
        <v>1395</v>
      </c>
      <c r="C49" s="11" t="s">
        <v>41</v>
      </c>
      <c r="D49" s="11" t="s">
        <v>189</v>
      </c>
      <c r="E49" s="13">
        <f>E50+E51+E52+E60+E61+E62</f>
        <v>1600.2380000000001</v>
      </c>
      <c r="F49" s="13">
        <f t="shared" ref="F49" si="54">F50+F51+F52+F60+F61+F62</f>
        <v>1631.2807604550001</v>
      </c>
      <c r="G49" s="13">
        <f>SUM(G50:G52)+SUM(G60:G62)</f>
        <v>1630.75584081595</v>
      </c>
      <c r="H49" s="13">
        <f>SUM(H50:H52)+SUM(H60:H62)</f>
        <v>1599.4505038976286</v>
      </c>
      <c r="I49" s="13">
        <f t="shared" ref="I49:P49" si="55">SUM(I50:I52)+SUM(I60:I62)</f>
        <v>1635.3016765618572</v>
      </c>
      <c r="J49" s="13">
        <f t="shared" si="55"/>
        <v>1672.2283844060132</v>
      </c>
      <c r="K49" s="13">
        <f t="shared" si="55"/>
        <v>1710.2628934854936</v>
      </c>
      <c r="L49" s="13">
        <f t="shared" si="55"/>
        <v>1711.0084378373583</v>
      </c>
      <c r="M49" s="13">
        <f t="shared" si="55"/>
        <v>1751.3592485197792</v>
      </c>
      <c r="N49" s="13">
        <f t="shared" si="55"/>
        <v>1792.9205835226724</v>
      </c>
      <c r="O49" s="13">
        <f t="shared" si="55"/>
        <v>1801.1417585756528</v>
      </c>
      <c r="P49" s="13">
        <f t="shared" si="55"/>
        <v>1845.2341788802223</v>
      </c>
      <c r="Q49" s="13">
        <f t="shared" ref="Q49" si="56">SUM(Q50:Q52)+SUM(Q60:Q62)</f>
        <v>1900.5912042466289</v>
      </c>
    </row>
    <row r="50" spans="1:17">
      <c r="A50" s="14" t="s">
        <v>119</v>
      </c>
      <c r="B50" s="14" t="s">
        <v>122</v>
      </c>
      <c r="C50" s="14" t="s">
        <v>42</v>
      </c>
      <c r="D50" s="15" t="s">
        <v>190</v>
      </c>
      <c r="E50" s="34">
        <f>IFERROR(VLOOKUP(Entidad!$B$12&amp;"-"&amp;'Plan Financiero'!$C50,DAF_BalanceFinancieroVA!$A$2:$H$2926,8,FALSE),0)</f>
        <v>813.11500000000001</v>
      </c>
      <c r="F50" s="48">
        <v>847.03081499999996</v>
      </c>
      <c r="G50" s="48">
        <v>872.44173945</v>
      </c>
      <c r="H50" s="48">
        <v>898.61499163350004</v>
      </c>
      <c r="I50" s="48">
        <v>925.57344138250505</v>
      </c>
      <c r="J50" s="48">
        <v>953.34064462398021</v>
      </c>
      <c r="K50" s="48">
        <v>981.94086396269961</v>
      </c>
      <c r="L50" s="48">
        <v>1011.3990898815806</v>
      </c>
      <c r="M50" s="48">
        <v>1041.741062578028</v>
      </c>
      <c r="N50" s="48">
        <v>1072.9932944553689</v>
      </c>
      <c r="O50" s="48">
        <v>1105.18309328903</v>
      </c>
      <c r="P50" s="48">
        <v>1138.3385860877008</v>
      </c>
      <c r="Q50" s="48">
        <f t="shared" ref="Q50:Q62" si="57">IF($F$1="NO","",P50*(1+$Q$3))</f>
        <v>1172.4887436703318</v>
      </c>
    </row>
    <row r="51" spans="1:17">
      <c r="A51" s="14" t="s">
        <v>119</v>
      </c>
      <c r="B51" s="14" t="s">
        <v>122</v>
      </c>
      <c r="C51" s="14" t="s">
        <v>43</v>
      </c>
      <c r="D51" s="15" t="s">
        <v>191</v>
      </c>
      <c r="E51" s="34">
        <f>IFERROR(VLOOKUP(Entidad!$B$12&amp;"-"&amp;'Plan Financiero'!$C51,DAF_BalanceFinancieroVA!$A$2:$H$2926,8,FALSE),0)</f>
        <v>406.61399999999998</v>
      </c>
      <c r="F51" s="48">
        <v>427</v>
      </c>
      <c r="G51" s="48">
        <v>427</v>
      </c>
      <c r="H51" s="48">
        <v>384.3</v>
      </c>
      <c r="I51" s="48">
        <v>384.3</v>
      </c>
      <c r="J51" s="48">
        <v>384.3</v>
      </c>
      <c r="K51" s="48">
        <v>384.3</v>
      </c>
      <c r="L51" s="48">
        <v>345.87</v>
      </c>
      <c r="M51" s="48">
        <v>345.87</v>
      </c>
      <c r="N51" s="48">
        <v>345.87</v>
      </c>
      <c r="O51" s="48">
        <v>311.28300000000002</v>
      </c>
      <c r="P51" s="48">
        <v>311.28300000000002</v>
      </c>
      <c r="Q51" s="48">
        <f t="shared" si="57"/>
        <v>320.62149000000005</v>
      </c>
    </row>
    <row r="52" spans="1:17">
      <c r="A52" s="14" t="s">
        <v>1392</v>
      </c>
      <c r="B52" s="14" t="s">
        <v>1395</v>
      </c>
      <c r="C52" s="28" t="s">
        <v>44</v>
      </c>
      <c r="D52" s="30" t="s">
        <v>192</v>
      </c>
      <c r="E52" s="29">
        <f>SUM(E53:E59)</f>
        <v>380.50900000000001</v>
      </c>
      <c r="F52" s="29">
        <f t="shared" ref="F52" si="58">SUM(F53:F59)</f>
        <v>357.24994545499993</v>
      </c>
      <c r="G52" s="29">
        <f t="shared" ref="G52:P52" si="59">SUM(G53:G59)</f>
        <v>331.31410136594997</v>
      </c>
      <c r="H52" s="29">
        <f t="shared" si="59"/>
        <v>316.5355122641285</v>
      </c>
      <c r="I52" s="29">
        <f t="shared" si="59"/>
        <v>325.42823517935233</v>
      </c>
      <c r="J52" s="29">
        <f t="shared" si="59"/>
        <v>334.58773978203294</v>
      </c>
      <c r="K52" s="29">
        <f t="shared" si="59"/>
        <v>344.02202952279396</v>
      </c>
      <c r="L52" s="29">
        <f t="shared" si="59"/>
        <v>353.73934795577776</v>
      </c>
      <c r="M52" s="29">
        <f t="shared" si="59"/>
        <v>363.7481859417511</v>
      </c>
      <c r="N52" s="29">
        <f t="shared" si="59"/>
        <v>374.05728906730366</v>
      </c>
      <c r="O52" s="29">
        <f t="shared" si="59"/>
        <v>384.67566528662275</v>
      </c>
      <c r="P52" s="29">
        <f t="shared" si="59"/>
        <v>395.61259279252147</v>
      </c>
      <c r="Q52" s="29">
        <f t="shared" ref="Q52" si="60">SUM(Q53:Q59)</f>
        <v>407.48097057629712</v>
      </c>
    </row>
    <row r="53" spans="1:17">
      <c r="A53" s="14" t="s">
        <v>119</v>
      </c>
      <c r="B53" s="14" t="s">
        <v>122</v>
      </c>
      <c r="C53" s="14" t="s">
        <v>45</v>
      </c>
      <c r="D53" s="14" t="s">
        <v>193</v>
      </c>
      <c r="E53" s="34">
        <f>IFERROR(VLOOKUP(Entidad!$B$12&amp;"-"&amp;'Plan Financiero'!$C53,DAF_BalanceFinancieroVA!$A$2:$H$2926,8,FALSE),0)</f>
        <v>24.616</v>
      </c>
      <c r="F53" s="48">
        <v>32</v>
      </c>
      <c r="G53" s="48">
        <v>32.96</v>
      </c>
      <c r="H53" s="48">
        <v>33.948799999999999</v>
      </c>
      <c r="I53" s="48">
        <v>34.967264</v>
      </c>
      <c r="J53" s="48">
        <v>36.016281920000004</v>
      </c>
      <c r="K53" s="48">
        <v>37.096770377600002</v>
      </c>
      <c r="L53" s="48">
        <v>38.209673488928004</v>
      </c>
      <c r="M53" s="48">
        <v>39.355963693595847</v>
      </c>
      <c r="N53" s="48">
        <v>40.536642604403724</v>
      </c>
      <c r="O53" s="48">
        <v>41.752741882535837</v>
      </c>
      <c r="P53" s="48">
        <v>43.005324139011911</v>
      </c>
      <c r="Q53" s="48">
        <f t="shared" si="57"/>
        <v>44.29548386318227</v>
      </c>
    </row>
    <row r="54" spans="1:17">
      <c r="A54" s="14" t="s">
        <v>119</v>
      </c>
      <c r="B54" s="14" t="s">
        <v>122</v>
      </c>
      <c r="C54" s="14" t="s">
        <v>46</v>
      </c>
      <c r="D54" s="14" t="s">
        <v>194</v>
      </c>
      <c r="E54" s="34">
        <f>IFERROR(VLOOKUP(Entidad!$B$12&amp;"-"&amp;'Plan Financiero'!$C54,DAF_BalanceFinancieroVA!$A$2:$H$2926,8,FALSE),0)</f>
        <v>0</v>
      </c>
      <c r="F54" s="48">
        <v>35</v>
      </c>
      <c r="G54" s="48">
        <v>0</v>
      </c>
      <c r="H54" s="48">
        <v>0</v>
      </c>
      <c r="I54" s="48">
        <v>0</v>
      </c>
      <c r="J54" s="48">
        <v>0</v>
      </c>
      <c r="K54" s="48">
        <v>0</v>
      </c>
      <c r="L54" s="48">
        <v>0</v>
      </c>
      <c r="M54" s="48">
        <v>0</v>
      </c>
      <c r="N54" s="48">
        <v>0</v>
      </c>
      <c r="O54" s="48">
        <v>0</v>
      </c>
      <c r="P54" s="48">
        <v>0</v>
      </c>
      <c r="Q54" s="48">
        <f t="shared" si="57"/>
        <v>0</v>
      </c>
    </row>
    <row r="55" spans="1:17">
      <c r="A55" s="14" t="s">
        <v>119</v>
      </c>
      <c r="B55" s="14" t="s">
        <v>122</v>
      </c>
      <c r="C55" s="14" t="s">
        <v>47</v>
      </c>
      <c r="D55" s="14" t="s">
        <v>195</v>
      </c>
      <c r="E55" s="34">
        <f>IFERROR(VLOOKUP(Entidad!$B$12&amp;"-"&amp;'Plan Financiero'!$C55,DAF_BalanceFinancieroVA!$A$2:$H$2926,8,FALSE),0)</f>
        <v>0</v>
      </c>
      <c r="F55" s="48">
        <v>0</v>
      </c>
      <c r="G55" s="48">
        <v>0</v>
      </c>
      <c r="H55" s="48">
        <v>0</v>
      </c>
      <c r="I55" s="48">
        <v>0</v>
      </c>
      <c r="J55" s="48">
        <v>0</v>
      </c>
      <c r="K55" s="48">
        <v>0</v>
      </c>
      <c r="L55" s="48">
        <v>0</v>
      </c>
      <c r="M55" s="48">
        <v>0</v>
      </c>
      <c r="N55" s="48">
        <v>0</v>
      </c>
      <c r="O55" s="48">
        <v>0</v>
      </c>
      <c r="P55" s="48">
        <v>0</v>
      </c>
      <c r="Q55" s="48">
        <f t="shared" si="57"/>
        <v>0</v>
      </c>
    </row>
    <row r="56" spans="1:17">
      <c r="A56" s="14" t="s">
        <v>119</v>
      </c>
      <c r="B56" s="14" t="s">
        <v>122</v>
      </c>
      <c r="C56" s="14" t="s">
        <v>48</v>
      </c>
      <c r="D56" s="14" t="s">
        <v>196</v>
      </c>
      <c r="E56" s="34">
        <f>IFERROR(VLOOKUP(Entidad!$B$12&amp;"-"&amp;'Plan Financiero'!$C56,DAF_BalanceFinancieroVA!$A$2:$H$2926,8,FALSE),0)</f>
        <v>252.946</v>
      </c>
      <c r="F56" s="48">
        <v>248.09754145499997</v>
      </c>
      <c r="G56" s="48">
        <v>254.93712524595</v>
      </c>
      <c r="H56" s="48">
        <v>261.98189655062851</v>
      </c>
      <c r="I56" s="48">
        <v>269.23801099444734</v>
      </c>
      <c r="J56" s="48">
        <v>276.71180887158079</v>
      </c>
      <c r="K56" s="48">
        <v>284.40982068502819</v>
      </c>
      <c r="L56" s="48">
        <v>292.33877285287906</v>
      </c>
      <c r="M56" s="48">
        <v>300.50559358576544</v>
      </c>
      <c r="N56" s="48">
        <v>308.91741894063841</v>
      </c>
      <c r="O56" s="48">
        <v>317.58159905615759</v>
      </c>
      <c r="P56" s="48">
        <v>326.50570457514232</v>
      </c>
      <c r="Q56" s="48">
        <f t="shared" si="57"/>
        <v>336.30087571239659</v>
      </c>
    </row>
    <row r="57" spans="1:17">
      <c r="A57" s="14" t="s">
        <v>119</v>
      </c>
      <c r="B57" s="14" t="s">
        <v>122</v>
      </c>
      <c r="C57" s="14" t="s">
        <v>49</v>
      </c>
      <c r="D57" s="14" t="s">
        <v>197</v>
      </c>
      <c r="E57" s="34">
        <f>IFERROR(VLOOKUP(Entidad!$B$12&amp;"-"&amp;'Plan Financiero'!$C57,DAF_BalanceFinancieroVA!$A$2:$H$2926,8,FALSE),0)</f>
        <v>0</v>
      </c>
      <c r="F57" s="48">
        <v>0</v>
      </c>
      <c r="G57" s="48">
        <v>0</v>
      </c>
      <c r="H57" s="48">
        <v>0</v>
      </c>
      <c r="I57" s="48">
        <v>0</v>
      </c>
      <c r="J57" s="48">
        <v>0</v>
      </c>
      <c r="K57" s="48">
        <v>0</v>
      </c>
      <c r="L57" s="48">
        <v>0</v>
      </c>
      <c r="M57" s="48">
        <v>0</v>
      </c>
      <c r="N57" s="48">
        <v>0</v>
      </c>
      <c r="O57" s="48">
        <v>0</v>
      </c>
      <c r="P57" s="48">
        <v>0</v>
      </c>
      <c r="Q57" s="48">
        <f t="shared" si="57"/>
        <v>0</v>
      </c>
    </row>
    <row r="58" spans="1:17">
      <c r="A58" s="14" t="s">
        <v>119</v>
      </c>
      <c r="B58" s="14" t="s">
        <v>122</v>
      </c>
      <c r="C58" s="14" t="s">
        <v>50</v>
      </c>
      <c r="D58" s="14" t="s">
        <v>198</v>
      </c>
      <c r="E58" s="34">
        <f>IFERROR(VLOOKUP(Entidad!$B$12&amp;"-"&amp;'Plan Financiero'!$C58,DAF_BalanceFinancieroVA!$A$2:$H$2926,8,FALSE),0)</f>
        <v>91.009</v>
      </c>
      <c r="F58" s="48">
        <v>22.730388999999999</v>
      </c>
      <c r="G58" s="48">
        <v>23.41230067</v>
      </c>
      <c r="H58" s="48">
        <v>0</v>
      </c>
      <c r="I58" s="48">
        <v>0</v>
      </c>
      <c r="J58" s="48">
        <v>0</v>
      </c>
      <c r="K58" s="48">
        <v>0</v>
      </c>
      <c r="L58" s="48">
        <v>0</v>
      </c>
      <c r="M58" s="48">
        <v>0</v>
      </c>
      <c r="N58" s="48">
        <v>0</v>
      </c>
      <c r="O58" s="48">
        <v>0</v>
      </c>
      <c r="P58" s="48">
        <v>0</v>
      </c>
      <c r="Q58" s="48">
        <f t="shared" si="57"/>
        <v>0</v>
      </c>
    </row>
    <row r="59" spans="1:17">
      <c r="A59" s="14" t="s">
        <v>119</v>
      </c>
      <c r="B59" s="14" t="s">
        <v>122</v>
      </c>
      <c r="C59" s="14" t="s">
        <v>51</v>
      </c>
      <c r="D59" s="14" t="s">
        <v>199</v>
      </c>
      <c r="E59" s="34">
        <f>IFERROR(VLOOKUP(Entidad!$B$12&amp;"-"&amp;'Plan Financiero'!$C59,DAF_BalanceFinancieroVA!$A$2:$H$2926,8,FALSE),0)</f>
        <v>11.938000000000001</v>
      </c>
      <c r="F59" s="48">
        <v>19.422015000000002</v>
      </c>
      <c r="G59" s="48">
        <v>20.004675450000004</v>
      </c>
      <c r="H59" s="48">
        <v>20.604815713500006</v>
      </c>
      <c r="I59" s="48">
        <v>21.222960184905006</v>
      </c>
      <c r="J59" s="48">
        <v>21.859648990452158</v>
      </c>
      <c r="K59" s="48">
        <v>22.515438460165722</v>
      </c>
      <c r="L59" s="48">
        <v>23.190901613970695</v>
      </c>
      <c r="M59" s="48">
        <v>23.886628662389818</v>
      </c>
      <c r="N59" s="48">
        <v>24.603227522261513</v>
      </c>
      <c r="O59" s="48">
        <v>25.341324347929358</v>
      </c>
      <c r="P59" s="48">
        <v>26.10156407836724</v>
      </c>
      <c r="Q59" s="48">
        <f t="shared" si="57"/>
        <v>26.884611000718259</v>
      </c>
    </row>
    <row r="60" spans="1:17">
      <c r="A60" s="14" t="s">
        <v>119</v>
      </c>
      <c r="B60" s="14" t="s">
        <v>122</v>
      </c>
      <c r="C60" s="14" t="s">
        <v>52</v>
      </c>
      <c r="D60" s="14" t="s">
        <v>200</v>
      </c>
      <c r="E60" s="34">
        <f>IFERROR(VLOOKUP(Entidad!$B$12&amp;"-"&amp;'Plan Financiero'!$C60,DAF_BalanceFinancieroVA!$A$2:$H$2926,8,FALSE),0)</f>
        <v>0</v>
      </c>
      <c r="F60" s="48">
        <v>0</v>
      </c>
      <c r="G60" s="48">
        <v>0</v>
      </c>
      <c r="H60" s="48">
        <v>0</v>
      </c>
      <c r="I60" s="48">
        <v>0</v>
      </c>
      <c r="J60" s="48">
        <v>0</v>
      </c>
      <c r="K60" s="48">
        <v>0</v>
      </c>
      <c r="L60" s="48">
        <v>0</v>
      </c>
      <c r="M60" s="48">
        <v>0</v>
      </c>
      <c r="N60" s="48">
        <v>0</v>
      </c>
      <c r="O60" s="48">
        <v>0</v>
      </c>
      <c r="P60" s="48">
        <v>0</v>
      </c>
      <c r="Q60" s="48">
        <f t="shared" si="57"/>
        <v>0</v>
      </c>
    </row>
    <row r="61" spans="1:17">
      <c r="A61" s="14" t="s">
        <v>119</v>
      </c>
      <c r="B61" s="14" t="s">
        <v>122</v>
      </c>
      <c r="C61" s="14" t="s">
        <v>53</v>
      </c>
      <c r="D61" s="14" t="s">
        <v>201</v>
      </c>
      <c r="E61" s="34">
        <f>IFERROR(VLOOKUP(Entidad!$B$12&amp;"-"&amp;'Plan Financiero'!$C61,DAF_BalanceFinancieroVA!$A$2:$H$2926,8,FALSE),0)</f>
        <v>0</v>
      </c>
      <c r="F61" s="48">
        <v>0</v>
      </c>
      <c r="G61" s="48">
        <v>0</v>
      </c>
      <c r="H61" s="48">
        <v>0</v>
      </c>
      <c r="I61" s="48">
        <v>0</v>
      </c>
      <c r="J61" s="48">
        <v>0</v>
      </c>
      <c r="K61" s="48">
        <v>0</v>
      </c>
      <c r="L61" s="48">
        <v>0</v>
      </c>
      <c r="M61" s="48">
        <v>0</v>
      </c>
      <c r="N61" s="48">
        <v>0</v>
      </c>
      <c r="O61" s="48">
        <v>0</v>
      </c>
      <c r="P61" s="48">
        <v>0</v>
      </c>
      <c r="Q61" s="48">
        <f t="shared" si="57"/>
        <v>0</v>
      </c>
    </row>
    <row r="62" spans="1:17">
      <c r="A62" s="14" t="s">
        <v>119</v>
      </c>
      <c r="B62" s="14" t="s">
        <v>122</v>
      </c>
      <c r="C62" s="14" t="s">
        <v>54</v>
      </c>
      <c r="D62" s="14" t="s">
        <v>202</v>
      </c>
      <c r="E62" s="34">
        <f>IFERROR(VLOOKUP(Entidad!$B$12&amp;"-"&amp;'Plan Financiero'!$C62,DAF_BalanceFinancieroVA!$A$2:$H$2926,8,FALSE),0)</f>
        <v>0</v>
      </c>
      <c r="F62" s="48">
        <v>0</v>
      </c>
      <c r="G62" s="48">
        <v>0</v>
      </c>
      <c r="H62" s="48">
        <v>0</v>
      </c>
      <c r="I62" s="48">
        <v>0</v>
      </c>
      <c r="J62" s="48">
        <v>0</v>
      </c>
      <c r="K62" s="48">
        <v>0</v>
      </c>
      <c r="L62" s="48">
        <v>0</v>
      </c>
      <c r="M62" s="48">
        <v>0</v>
      </c>
      <c r="N62" s="48">
        <v>0</v>
      </c>
      <c r="O62" s="48">
        <v>0</v>
      </c>
      <c r="P62" s="48">
        <v>0</v>
      </c>
      <c r="Q62" s="48">
        <f t="shared" si="57"/>
        <v>0</v>
      </c>
    </row>
    <row r="63" spans="1:17">
      <c r="A63" s="14" t="s">
        <v>119</v>
      </c>
      <c r="B63" s="14" t="s">
        <v>1398</v>
      </c>
      <c r="C63" s="17" t="s">
        <v>55</v>
      </c>
      <c r="D63" s="18" t="s">
        <v>203</v>
      </c>
      <c r="E63" s="34">
        <f>IFERROR(VLOOKUP(Entidad!$B$12&amp;"-"&amp;'Plan Financiero'!$C63,DAF_BalanceFinancieroVA!$A$2:$H$2926,8,FALSE),0)</f>
        <v>0</v>
      </c>
      <c r="F63" s="48">
        <f>IFERROR(VLOOKUP(Entidad!$B$12&amp;"-"&amp;'Plan Financiero'!$C63,DAF_BalanceFinancieroVA!$A$2:$H$2926,8,FALSE),0)</f>
        <v>0</v>
      </c>
      <c r="G63" s="48">
        <f>IFERROR(VLOOKUP(Entidad!$B$12&amp;"-"&amp;'Plan Financiero'!$C63,DAF_BalanceFinancieroVA!$A$2:$H$2926,8,FALSE),0)</f>
        <v>0</v>
      </c>
      <c r="H63" s="48">
        <f>IFERROR(VLOOKUP(Entidad!$B$12&amp;"-"&amp;'Plan Financiero'!$C63,DAF_BalanceFinancieroVA!$A$2:$H$2926,8,FALSE),0)</f>
        <v>0</v>
      </c>
      <c r="I63" s="48">
        <f>IFERROR(VLOOKUP(Entidad!$B$12&amp;"-"&amp;'Plan Financiero'!$C63,DAF_BalanceFinancieroVA!$A$2:$H$2926,8,FALSE),0)</f>
        <v>0</v>
      </c>
      <c r="J63" s="48">
        <f>IFERROR(VLOOKUP(Entidad!$B$12&amp;"-"&amp;'Plan Financiero'!$C63,DAF_BalanceFinancieroVA!$A$2:$H$2926,8,FALSE),0)</f>
        <v>0</v>
      </c>
      <c r="K63" s="48">
        <f>IFERROR(VLOOKUP(Entidad!$B$12&amp;"-"&amp;'Plan Financiero'!$C63,DAF_BalanceFinancieroVA!$A$2:$H$2926,8,FALSE),0)</f>
        <v>0</v>
      </c>
      <c r="L63" s="48">
        <f>IFERROR(VLOOKUP(Entidad!$B$12&amp;"-"&amp;'Plan Financiero'!$C63,DAF_BalanceFinancieroVA!$A$2:$H$2926,8,FALSE),0)</f>
        <v>0</v>
      </c>
      <c r="M63" s="48">
        <f>IFERROR(VLOOKUP(Entidad!$B$12&amp;"-"&amp;'Plan Financiero'!$C63,DAF_BalanceFinancieroVA!$A$2:$H$2926,8,FALSE),0)</f>
        <v>0</v>
      </c>
      <c r="N63" s="48">
        <f>IFERROR(VLOOKUP(Entidad!$B$12&amp;"-"&amp;'Plan Financiero'!$C63,DAF_BalanceFinancieroVA!$A$2:$H$2926,8,FALSE),0)</f>
        <v>0</v>
      </c>
      <c r="O63" s="48">
        <f>IFERROR(VLOOKUP(Entidad!$B$12&amp;"-"&amp;'Plan Financiero'!$C63,DAF_BalanceFinancieroVA!$A$2:$H$2926,8,FALSE),0)</f>
        <v>0</v>
      </c>
      <c r="P63" s="48">
        <f>IFERROR(VLOOKUP(Entidad!$B$12&amp;"-"&amp;'Plan Financiero'!$C63,DAF_BalanceFinancieroVA!$A$2:$H$2926,8,FALSE),0)</f>
        <v>0</v>
      </c>
      <c r="Q63" s="48">
        <f>IFERROR(VLOOKUP(Entidad!$B$12&amp;"-"&amp;'Plan Financiero'!$C63,DAF_BalanceFinancieroVA!$A$2:$H$2926,8,FALSE),0)</f>
        <v>0</v>
      </c>
    </row>
    <row r="64" spans="1:17">
      <c r="A64" s="14" t="s">
        <v>119</v>
      </c>
      <c r="B64" s="14" t="s">
        <v>1397</v>
      </c>
      <c r="C64" s="17" t="s">
        <v>56</v>
      </c>
      <c r="D64" s="18" t="s">
        <v>204</v>
      </c>
      <c r="E64" s="34">
        <f>IFERROR(VLOOKUP(Entidad!$B$12&amp;"-"&amp;'Plan Financiero'!$C64,DAF_BalanceFinancieroVA!$A$2:$H$2926,8,FALSE),0)</f>
        <v>0</v>
      </c>
      <c r="F64" s="48">
        <f>IFERROR(VLOOKUP(Entidad!$B$12&amp;"-"&amp;'Plan Financiero'!$C64,DAF_BalanceFinancieroVA!$A$2:$H$2926,8,FALSE),0)</f>
        <v>0</v>
      </c>
      <c r="G64" s="48">
        <f>IFERROR(VLOOKUP(Entidad!$B$12&amp;"-"&amp;'Plan Financiero'!$C64,DAF_BalanceFinancieroVA!$A$2:$H$2926,8,FALSE),0)</f>
        <v>0</v>
      </c>
      <c r="H64" s="48">
        <f>IFERROR(VLOOKUP(Entidad!$B$12&amp;"-"&amp;'Plan Financiero'!$C64,DAF_BalanceFinancieroVA!$A$2:$H$2926,8,FALSE),0)</f>
        <v>0</v>
      </c>
      <c r="I64" s="48">
        <f>IFERROR(VLOOKUP(Entidad!$B$12&amp;"-"&amp;'Plan Financiero'!$C64,DAF_BalanceFinancieroVA!$A$2:$H$2926,8,FALSE),0)</f>
        <v>0</v>
      </c>
      <c r="J64" s="48">
        <f>IFERROR(VLOOKUP(Entidad!$B$12&amp;"-"&amp;'Plan Financiero'!$C64,DAF_BalanceFinancieroVA!$A$2:$H$2926,8,FALSE),0)</f>
        <v>0</v>
      </c>
      <c r="K64" s="48">
        <f>IFERROR(VLOOKUP(Entidad!$B$12&amp;"-"&amp;'Plan Financiero'!$C64,DAF_BalanceFinancieroVA!$A$2:$H$2926,8,FALSE),0)</f>
        <v>0</v>
      </c>
      <c r="L64" s="48">
        <f>IFERROR(VLOOKUP(Entidad!$B$12&amp;"-"&amp;'Plan Financiero'!$C64,DAF_BalanceFinancieroVA!$A$2:$H$2926,8,FALSE),0)</f>
        <v>0</v>
      </c>
      <c r="M64" s="48">
        <f>IFERROR(VLOOKUP(Entidad!$B$12&amp;"-"&amp;'Plan Financiero'!$C64,DAF_BalanceFinancieroVA!$A$2:$H$2926,8,FALSE),0)</f>
        <v>0</v>
      </c>
      <c r="N64" s="48">
        <f>IFERROR(VLOOKUP(Entidad!$B$12&amp;"-"&amp;'Plan Financiero'!$C64,DAF_BalanceFinancieroVA!$A$2:$H$2926,8,FALSE),0)</f>
        <v>0</v>
      </c>
      <c r="O64" s="48">
        <f>IFERROR(VLOOKUP(Entidad!$B$12&amp;"-"&amp;'Plan Financiero'!$C64,DAF_BalanceFinancieroVA!$A$2:$H$2926,8,FALSE),0)</f>
        <v>0</v>
      </c>
      <c r="P64" s="48">
        <f>IFERROR(VLOOKUP(Entidad!$B$12&amp;"-"&amp;'Plan Financiero'!$C64,DAF_BalanceFinancieroVA!$A$2:$H$2926,8,FALSE),0)</f>
        <v>0</v>
      </c>
      <c r="Q64" s="48">
        <f>IFERROR(VLOOKUP(Entidad!$B$12&amp;"-"&amp;'Plan Financiero'!$C64,DAF_BalanceFinancieroVA!$A$2:$H$2926,8,FALSE),0)</f>
        <v>0</v>
      </c>
    </row>
    <row r="65" spans="1:17">
      <c r="A65" s="14" t="s">
        <v>1392</v>
      </c>
      <c r="B65" s="14" t="s">
        <v>1395</v>
      </c>
      <c r="C65" s="32" t="s">
        <v>57</v>
      </c>
      <c r="D65" s="31" t="s">
        <v>205</v>
      </c>
      <c r="E65" s="29">
        <f t="shared" ref="E65" si="61">SUM(E66:E70)</f>
        <v>10641.716</v>
      </c>
      <c r="F65" s="29">
        <f t="shared" ref="F65" si="62">SUM(F66:F70)</f>
        <v>10821.340135000002</v>
      </c>
      <c r="G65" s="29">
        <f t="shared" ref="G65:P65" si="63">SUM(G66:G70)</f>
        <v>10848.952489750001</v>
      </c>
      <c r="H65" s="29">
        <f t="shared" si="63"/>
        <v>10089.525815467503</v>
      </c>
      <c r="I65" s="29">
        <f t="shared" si="63"/>
        <v>10392.211589931527</v>
      </c>
      <c r="J65" s="29">
        <f t="shared" si="63"/>
        <v>10600.055821730159</v>
      </c>
      <c r="K65" s="29">
        <f t="shared" si="63"/>
        <v>10600.055821730159</v>
      </c>
      <c r="L65" s="29">
        <f t="shared" si="63"/>
        <v>10706.056379947458</v>
      </c>
      <c r="M65" s="29">
        <f t="shared" si="63"/>
        <v>10706.056379947458</v>
      </c>
      <c r="N65" s="29">
        <f t="shared" si="63"/>
        <v>10813.116943746934</v>
      </c>
      <c r="O65" s="29">
        <f t="shared" si="63"/>
        <v>10921.248113184403</v>
      </c>
      <c r="P65" s="29">
        <f t="shared" si="63"/>
        <v>11030.460594316248</v>
      </c>
      <c r="Q65" s="29">
        <f t="shared" ref="Q65" si="64">SUM(Q66:Q70)</f>
        <v>11361.374412145735</v>
      </c>
    </row>
    <row r="66" spans="1:17">
      <c r="A66" s="14" t="s">
        <v>119</v>
      </c>
      <c r="B66" s="14" t="s">
        <v>131</v>
      </c>
      <c r="C66" s="14" t="s">
        <v>58</v>
      </c>
      <c r="D66" s="14" t="s">
        <v>206</v>
      </c>
      <c r="E66" s="34">
        <f>IFERROR(VLOOKUP(Entidad!$B$12&amp;"-"&amp;'Plan Financiero'!$C66,DAF_BalanceFinancieroVA!$A$2:$H$2926,8,FALSE),0)</f>
        <v>706.697</v>
      </c>
      <c r="F66" s="48">
        <v>635.11285299999997</v>
      </c>
      <c r="G66" s="48">
        <v>381.06771179999998</v>
      </c>
      <c r="H66" s="48">
        <v>354.39297197399998</v>
      </c>
      <c r="I66" s="48">
        <v>365.02476113322001</v>
      </c>
      <c r="J66" s="48">
        <v>372.32525635588439</v>
      </c>
      <c r="K66" s="48">
        <v>372.32525635588439</v>
      </c>
      <c r="L66" s="48">
        <v>376.04850891944324</v>
      </c>
      <c r="M66" s="48">
        <v>376.04850891944324</v>
      </c>
      <c r="N66" s="48">
        <v>379.80899400863768</v>
      </c>
      <c r="O66" s="48">
        <v>383.60708394872404</v>
      </c>
      <c r="P66" s="48">
        <v>387.4431547882113</v>
      </c>
      <c r="Q66" s="48">
        <f t="shared" ref="Q66:Q73" si="65">IF($F$1="NO","",P66*(1+$Q$3))</f>
        <v>399.06644943185768</v>
      </c>
    </row>
    <row r="67" spans="1:17">
      <c r="A67" s="14" t="s">
        <v>119</v>
      </c>
      <c r="B67" s="14" t="s">
        <v>131</v>
      </c>
      <c r="C67" s="14" t="s">
        <v>59</v>
      </c>
      <c r="D67" s="14" t="s">
        <v>207</v>
      </c>
      <c r="E67" s="34">
        <f>IFERROR(VLOOKUP(Entidad!$B$12&amp;"-"&amp;'Plan Financiero'!$C67,DAF_BalanceFinancieroVA!$A$2:$H$2926,8,FALSE),0)</f>
        <v>8314.8439999999991</v>
      </c>
      <c r="F67" s="48">
        <v>9123.5392310000007</v>
      </c>
      <c r="G67" s="48">
        <v>9579.7161925500004</v>
      </c>
      <c r="H67" s="48">
        <v>8909.1360590715012</v>
      </c>
      <c r="I67" s="48">
        <v>9176.4101408436472</v>
      </c>
      <c r="J67" s="48">
        <v>9359.9383436605203</v>
      </c>
      <c r="K67" s="48">
        <v>9359.9383436605203</v>
      </c>
      <c r="L67" s="48">
        <v>9453.5377270971258</v>
      </c>
      <c r="M67" s="48">
        <v>9453.5377270971258</v>
      </c>
      <c r="N67" s="48">
        <v>9548.0731043680971</v>
      </c>
      <c r="O67" s="48">
        <v>9643.553835411778</v>
      </c>
      <c r="P67" s="48">
        <v>9739.9893737658967</v>
      </c>
      <c r="Q67" s="48">
        <f t="shared" si="65"/>
        <v>10032.189054978873</v>
      </c>
    </row>
    <row r="68" spans="1:17">
      <c r="A68" s="14" t="s">
        <v>119</v>
      </c>
      <c r="B68" s="14" t="s">
        <v>131</v>
      </c>
      <c r="C68" s="14" t="s">
        <v>60</v>
      </c>
      <c r="D68" s="14" t="s">
        <v>208</v>
      </c>
      <c r="E68" s="34">
        <f>IFERROR(VLOOKUP(Entidad!$B$12&amp;"-"&amp;'Plan Financiero'!$C68,DAF_BalanceFinancieroVA!$A$2:$H$2926,8,FALSE),0)</f>
        <v>336.61799999999999</v>
      </c>
      <c r="F68" s="48">
        <v>360.18144599999999</v>
      </c>
      <c r="G68" s="48">
        <v>324.16330140000002</v>
      </c>
      <c r="H68" s="48">
        <v>301.47187030200001</v>
      </c>
      <c r="I68" s="48">
        <v>310.51602641106001</v>
      </c>
      <c r="J68" s="48">
        <v>316.7263469392812</v>
      </c>
      <c r="K68" s="48">
        <v>316.7263469392812</v>
      </c>
      <c r="L68" s="48">
        <v>319.89361040867402</v>
      </c>
      <c r="M68" s="48">
        <v>319.89361040867402</v>
      </c>
      <c r="N68" s="48">
        <v>323.09254651276075</v>
      </c>
      <c r="O68" s="48">
        <v>326.32347197788835</v>
      </c>
      <c r="P68" s="48">
        <v>329.58670669766724</v>
      </c>
      <c r="Q68" s="48">
        <f t="shared" si="65"/>
        <v>339.47430789859726</v>
      </c>
    </row>
    <row r="69" spans="1:17">
      <c r="A69" s="14" t="s">
        <v>119</v>
      </c>
      <c r="B69" s="14" t="s">
        <v>131</v>
      </c>
      <c r="C69" s="14" t="s">
        <v>61</v>
      </c>
      <c r="D69" s="14" t="s">
        <v>209</v>
      </c>
      <c r="E69" s="34">
        <f>IFERROR(VLOOKUP(Entidad!$B$12&amp;"-"&amp;'Plan Financiero'!$C69,DAF_BalanceFinancieroVA!$A$2:$H$2926,8,FALSE),0)</f>
        <v>889.5</v>
      </c>
      <c r="F69" s="48">
        <v>10</v>
      </c>
      <c r="G69" s="48">
        <v>10</v>
      </c>
      <c r="H69" s="48">
        <v>9.3000000000000007</v>
      </c>
      <c r="I69" s="48">
        <v>9.5790000000000006</v>
      </c>
      <c r="J69" s="48">
        <v>9.7705800000000007</v>
      </c>
      <c r="K69" s="48">
        <v>9.7705800000000007</v>
      </c>
      <c r="L69" s="48">
        <v>9.8682858000000007</v>
      </c>
      <c r="M69" s="48">
        <v>9.8682858000000007</v>
      </c>
      <c r="N69" s="48">
        <v>9.9669686580000008</v>
      </c>
      <c r="O69" s="48">
        <v>10.066638344580001</v>
      </c>
      <c r="P69" s="48">
        <v>10.167304728025801</v>
      </c>
      <c r="Q69" s="48">
        <f t="shared" si="65"/>
        <v>10.472323869866575</v>
      </c>
    </row>
    <row r="70" spans="1:17">
      <c r="A70" s="14" t="s">
        <v>119</v>
      </c>
      <c r="B70" s="14" t="s">
        <v>131</v>
      </c>
      <c r="C70" s="14" t="s">
        <v>62</v>
      </c>
      <c r="D70" s="14" t="s">
        <v>210</v>
      </c>
      <c r="E70" s="34">
        <f>IFERROR(VLOOKUP(Entidad!$B$12&amp;"-"&amp;'Plan Financiero'!$C70,DAF_BalanceFinancieroVA!$A$2:$H$2926,8,FALSE),0)</f>
        <v>394.05700000000002</v>
      </c>
      <c r="F70" s="48">
        <v>692.50660500000004</v>
      </c>
      <c r="G70" s="48">
        <v>554.00528400000007</v>
      </c>
      <c r="H70" s="48">
        <v>515.22491412000011</v>
      </c>
      <c r="I70" s="48">
        <v>530.68166154360017</v>
      </c>
      <c r="J70" s="48">
        <v>541.29529477447215</v>
      </c>
      <c r="K70" s="48">
        <v>541.29529477447215</v>
      </c>
      <c r="L70" s="48">
        <v>546.70824772221692</v>
      </c>
      <c r="M70" s="48">
        <v>546.70824772221692</v>
      </c>
      <c r="N70" s="48">
        <v>552.17533019943914</v>
      </c>
      <c r="O70" s="48">
        <v>557.69708350143355</v>
      </c>
      <c r="P70" s="48">
        <v>563.27405433644788</v>
      </c>
      <c r="Q70" s="48">
        <f t="shared" si="65"/>
        <v>580.17227596654129</v>
      </c>
    </row>
    <row r="71" spans="1:17">
      <c r="A71" s="14" t="s">
        <v>1392</v>
      </c>
      <c r="B71" s="14" t="s">
        <v>1395</v>
      </c>
      <c r="C71" s="32" t="s">
        <v>63</v>
      </c>
      <c r="D71" s="31" t="s">
        <v>211</v>
      </c>
      <c r="E71" s="29">
        <f t="shared" ref="E71" si="66">SUM(E72:E73)</f>
        <v>60.036000000000001</v>
      </c>
      <c r="F71" s="29">
        <f t="shared" ref="F71" si="67">SUM(F72:F73)</f>
        <v>33</v>
      </c>
      <c r="G71" s="29">
        <f t="shared" ref="G71:P71" si="68">SUM(G72:G73)</f>
        <v>108</v>
      </c>
      <c r="H71" s="29">
        <f t="shared" si="68"/>
        <v>85</v>
      </c>
      <c r="I71" s="29">
        <f t="shared" si="68"/>
        <v>66</v>
      </c>
      <c r="J71" s="29">
        <f t="shared" si="68"/>
        <v>47</v>
      </c>
      <c r="K71" s="29">
        <f t="shared" si="68"/>
        <v>29</v>
      </c>
      <c r="L71" s="29">
        <f t="shared" si="68"/>
        <v>11</v>
      </c>
      <c r="M71" s="29">
        <f t="shared" si="68"/>
        <v>0</v>
      </c>
      <c r="N71" s="29">
        <f t="shared" si="68"/>
        <v>0</v>
      </c>
      <c r="O71" s="29">
        <f t="shared" si="68"/>
        <v>0</v>
      </c>
      <c r="P71" s="29">
        <f t="shared" si="68"/>
        <v>0</v>
      </c>
      <c r="Q71" s="29">
        <f t="shared" ref="Q71" si="69">SUM(Q72:Q73)</f>
        <v>0</v>
      </c>
    </row>
    <row r="72" spans="1:17">
      <c r="A72" s="14" t="s">
        <v>119</v>
      </c>
      <c r="B72" s="14" t="s">
        <v>1397</v>
      </c>
      <c r="C72" s="14" t="s">
        <v>64</v>
      </c>
      <c r="D72" s="14" t="s">
        <v>212</v>
      </c>
      <c r="E72" s="34">
        <f>IFERROR(VLOOKUP(Entidad!$B$12&amp;"-"&amp;'Plan Financiero'!$C72,DAF_BalanceFinancieroVA!$A$2:$H$2926,8,FALSE),0)</f>
        <v>60.036000000000001</v>
      </c>
      <c r="F72" s="48">
        <v>33</v>
      </c>
      <c r="G72" s="48">
        <v>108</v>
      </c>
      <c r="H72" s="48">
        <v>85</v>
      </c>
      <c r="I72" s="48">
        <v>66</v>
      </c>
      <c r="J72" s="48">
        <v>47</v>
      </c>
      <c r="K72" s="48">
        <v>29</v>
      </c>
      <c r="L72" s="48">
        <v>11</v>
      </c>
      <c r="M72" s="48">
        <v>0</v>
      </c>
      <c r="N72" s="48">
        <v>0</v>
      </c>
      <c r="O72" s="48">
        <v>0</v>
      </c>
      <c r="P72" s="48">
        <v>0</v>
      </c>
      <c r="Q72" s="48">
        <f t="shared" si="65"/>
        <v>0</v>
      </c>
    </row>
    <row r="73" spans="1:17">
      <c r="A73" s="14" t="s">
        <v>119</v>
      </c>
      <c r="B73" s="14" t="s">
        <v>1397</v>
      </c>
      <c r="C73" s="14" t="s">
        <v>65</v>
      </c>
      <c r="D73" s="14" t="s">
        <v>213</v>
      </c>
      <c r="E73" s="34">
        <f>IFERROR(VLOOKUP(Entidad!$B$12&amp;"-"&amp;'Plan Financiero'!$C73,DAF_BalanceFinancieroVA!$A$2:$H$2926,8,FALSE),0)</f>
        <v>0</v>
      </c>
      <c r="F73" s="48">
        <v>0</v>
      </c>
      <c r="G73" s="48">
        <v>0</v>
      </c>
      <c r="H73" s="48">
        <v>0</v>
      </c>
      <c r="I73" s="48">
        <v>0</v>
      </c>
      <c r="J73" s="48">
        <v>0</v>
      </c>
      <c r="K73" s="48">
        <v>0</v>
      </c>
      <c r="L73" s="48">
        <v>0</v>
      </c>
      <c r="M73" s="48">
        <v>0</v>
      </c>
      <c r="N73" s="48">
        <v>0</v>
      </c>
      <c r="O73" s="48">
        <v>0</v>
      </c>
      <c r="P73" s="48">
        <v>0</v>
      </c>
      <c r="Q73" s="48">
        <f t="shared" si="65"/>
        <v>0</v>
      </c>
    </row>
    <row r="74" spans="1:17">
      <c r="A74" s="14" t="s">
        <v>1392</v>
      </c>
      <c r="B74" s="14" t="s">
        <v>1395</v>
      </c>
      <c r="C74" s="11" t="s">
        <v>66</v>
      </c>
      <c r="D74" s="11" t="s">
        <v>67</v>
      </c>
      <c r="E74" s="13">
        <f t="shared" ref="E74" si="70">E6-E48</f>
        <v>1874.9159999999993</v>
      </c>
      <c r="F74" s="13">
        <f t="shared" ref="F74" si="71">F6-F48</f>
        <v>2329.5886029449975</v>
      </c>
      <c r="G74" s="13">
        <f t="shared" ref="G74:P74" si="72">G6-G48</f>
        <v>2263.9243133160508</v>
      </c>
      <c r="H74" s="13">
        <f t="shared" si="72"/>
        <v>3129.751149303429</v>
      </c>
      <c r="I74" s="13">
        <f t="shared" si="72"/>
        <v>2863.8718717053325</v>
      </c>
      <c r="J74" s="13">
        <f t="shared" si="72"/>
        <v>2693.3683316786064</v>
      </c>
      <c r="K74" s="13">
        <f t="shared" si="72"/>
        <v>2730.2592442036712</v>
      </c>
      <c r="L74" s="13">
        <f t="shared" si="72"/>
        <v>2700.1463258871845</v>
      </c>
      <c r="M74" s="13">
        <f t="shared" si="72"/>
        <v>2731.1876949850248</v>
      </c>
      <c r="N74" s="13">
        <f t="shared" si="72"/>
        <v>2644.7697413563237</v>
      </c>
      <c r="O74" s="13">
        <f t="shared" si="72"/>
        <v>2592.4874603947483</v>
      </c>
      <c r="P74" s="13">
        <f t="shared" si="72"/>
        <v>2505.1747243930804</v>
      </c>
      <c r="Q74" s="13">
        <f t="shared" ref="Q74" si="73">Q6-Q48</f>
        <v>2580.3299661248748</v>
      </c>
    </row>
    <row r="75" spans="1:17">
      <c r="A75" s="14" t="s">
        <v>1392</v>
      </c>
      <c r="B75" s="14" t="s">
        <v>1395</v>
      </c>
      <c r="C75" s="11" t="s">
        <v>68</v>
      </c>
      <c r="D75" s="11" t="s">
        <v>69</v>
      </c>
      <c r="E75" s="13">
        <f>SUM(E76:E81)+E86</f>
        <v>2676.4700000000003</v>
      </c>
      <c r="F75" s="13">
        <f>SUM(F76:F81)+F86</f>
        <v>1414.497261</v>
      </c>
      <c r="G75" s="13">
        <f t="shared" ref="G75:Q75" si="74">SUM(G76:G81)+G86</f>
        <v>0.90224623000000004</v>
      </c>
      <c r="H75" s="13">
        <f t="shared" si="74"/>
        <v>0.92931361690000003</v>
      </c>
      <c r="I75" s="13">
        <f t="shared" si="74"/>
        <v>0.95719302540700002</v>
      </c>
      <c r="J75" s="13">
        <f t="shared" si="74"/>
        <v>0.98590881616921</v>
      </c>
      <c r="K75" s="13">
        <f t="shared" si="74"/>
        <v>1.0154860806542862</v>
      </c>
      <c r="L75" s="13">
        <f t="shared" si="74"/>
        <v>1.0459506630739148</v>
      </c>
      <c r="M75" s="13">
        <f t="shared" si="74"/>
        <v>1.0773291829661322</v>
      </c>
      <c r="N75" s="13">
        <f t="shared" si="74"/>
        <v>1.1096490584551162</v>
      </c>
      <c r="O75" s="13">
        <f t="shared" si="74"/>
        <v>1.1429385302087698</v>
      </c>
      <c r="P75" s="13">
        <f t="shared" si="74"/>
        <v>1.1772266861150329</v>
      </c>
      <c r="Q75" s="13">
        <f t="shared" si="74"/>
        <v>1.2125434866984839</v>
      </c>
    </row>
    <row r="76" spans="1:17">
      <c r="A76" s="14" t="s">
        <v>119</v>
      </c>
      <c r="B76" s="14" t="s">
        <v>1396</v>
      </c>
      <c r="C76" s="14" t="s">
        <v>70</v>
      </c>
      <c r="D76" s="14" t="s">
        <v>214</v>
      </c>
      <c r="E76" s="34">
        <f>IFERROR(VLOOKUP(Entidad!$B$12&amp;"-"&amp;'Plan Financiero'!$C76,DAF_BalanceFinancieroVA!$A$2:$H$2926,8,FALSE),0)</f>
        <v>144.529</v>
      </c>
      <c r="F76" s="48">
        <v>212</v>
      </c>
      <c r="G76" s="48">
        <v>0</v>
      </c>
      <c r="H76" s="49">
        <v>0</v>
      </c>
      <c r="I76" s="49">
        <v>0</v>
      </c>
      <c r="J76" s="49">
        <v>0</v>
      </c>
      <c r="K76" s="49">
        <v>0</v>
      </c>
      <c r="L76" s="49">
        <v>0</v>
      </c>
      <c r="M76" s="49">
        <v>0</v>
      </c>
      <c r="N76" s="49">
        <v>0</v>
      </c>
      <c r="O76" s="49">
        <v>0</v>
      </c>
      <c r="P76" s="49">
        <v>0</v>
      </c>
      <c r="Q76" s="48">
        <f t="shared" ref="Q76:Q85" si="75">IF($F$1="NO","",P76*(1+$Q$3))</f>
        <v>0</v>
      </c>
    </row>
    <row r="77" spans="1:17">
      <c r="A77" s="14" t="s">
        <v>119</v>
      </c>
      <c r="B77" s="14" t="s">
        <v>1396</v>
      </c>
      <c r="C77" s="14" t="s">
        <v>71</v>
      </c>
      <c r="D77" s="14" t="s">
        <v>215</v>
      </c>
      <c r="E77" s="34">
        <f>IFERROR(VLOOKUP(Entidad!$B$12&amp;"-"&amp;'Plan Financiero'!$C77,DAF_BalanceFinancieroVA!$A$2:$H$2926,8,FALSE),0)</f>
        <v>0</v>
      </c>
      <c r="F77" s="48">
        <v>0</v>
      </c>
      <c r="G77" s="48">
        <v>0</v>
      </c>
      <c r="H77" s="49">
        <v>0</v>
      </c>
      <c r="I77" s="49">
        <v>0</v>
      </c>
      <c r="J77" s="49">
        <v>0</v>
      </c>
      <c r="K77" s="49">
        <v>0</v>
      </c>
      <c r="L77" s="49">
        <v>0</v>
      </c>
      <c r="M77" s="49">
        <v>0</v>
      </c>
      <c r="N77" s="49">
        <v>0</v>
      </c>
      <c r="O77" s="49">
        <v>0</v>
      </c>
      <c r="P77" s="49">
        <v>0</v>
      </c>
      <c r="Q77" s="48">
        <f t="shared" si="75"/>
        <v>0</v>
      </c>
    </row>
    <row r="78" spans="1:17">
      <c r="A78" s="14" t="s">
        <v>119</v>
      </c>
      <c r="B78" s="14" t="s">
        <v>1396</v>
      </c>
      <c r="C78" s="14" t="s">
        <v>72</v>
      </c>
      <c r="D78" s="14" t="s">
        <v>216</v>
      </c>
      <c r="E78" s="34">
        <f>IFERROR(VLOOKUP(Entidad!$B$12&amp;"-"&amp;'Plan Financiero'!$C78,DAF_BalanceFinancieroVA!$A$2:$H$2926,8,FALSE),0)</f>
        <v>0</v>
      </c>
      <c r="F78" s="48">
        <v>0</v>
      </c>
      <c r="G78" s="48">
        <v>0</v>
      </c>
      <c r="H78" s="49">
        <v>0</v>
      </c>
      <c r="I78" s="49">
        <v>0</v>
      </c>
      <c r="J78" s="49">
        <v>0</v>
      </c>
      <c r="K78" s="49">
        <v>0</v>
      </c>
      <c r="L78" s="49">
        <v>0</v>
      </c>
      <c r="M78" s="49">
        <v>0</v>
      </c>
      <c r="N78" s="49">
        <v>0</v>
      </c>
      <c r="O78" s="49">
        <v>0</v>
      </c>
      <c r="P78" s="49">
        <v>0</v>
      </c>
      <c r="Q78" s="48">
        <f t="shared" si="75"/>
        <v>0</v>
      </c>
    </row>
    <row r="79" spans="1:17">
      <c r="A79" s="14" t="s">
        <v>119</v>
      </c>
      <c r="B79" s="14" t="s">
        <v>1396</v>
      </c>
      <c r="C79" s="14" t="s">
        <v>73</v>
      </c>
      <c r="D79" s="14" t="s">
        <v>217</v>
      </c>
      <c r="E79" s="34">
        <f>IFERROR(VLOOKUP(Entidad!$B$12&amp;"-"&amp;'Plan Financiero'!$C79,DAF_BalanceFinancieroVA!$A$2:$H$2926,8,FALSE),0)</f>
        <v>35.771000000000001</v>
      </c>
      <c r="F79" s="48">
        <v>1.497261</v>
      </c>
      <c r="G79" s="48">
        <v>0.90224623000000004</v>
      </c>
      <c r="H79" s="49">
        <v>0.92931361690000003</v>
      </c>
      <c r="I79" s="49">
        <v>0.95719302540700002</v>
      </c>
      <c r="J79" s="49">
        <v>0.98590881616921</v>
      </c>
      <c r="K79" s="49">
        <v>1.0154860806542862</v>
      </c>
      <c r="L79" s="49">
        <v>1.0459506630739148</v>
      </c>
      <c r="M79" s="49">
        <v>1.0773291829661322</v>
      </c>
      <c r="N79" s="49">
        <v>1.1096490584551162</v>
      </c>
      <c r="O79" s="49">
        <v>1.1429385302087698</v>
      </c>
      <c r="P79" s="49">
        <v>1.1772266861150329</v>
      </c>
      <c r="Q79" s="48">
        <f t="shared" si="75"/>
        <v>1.2125434866984839</v>
      </c>
    </row>
    <row r="80" spans="1:17">
      <c r="A80" s="14" t="s">
        <v>119</v>
      </c>
      <c r="B80" s="14" t="s">
        <v>1396</v>
      </c>
      <c r="C80" s="14" t="s">
        <v>74</v>
      </c>
      <c r="D80" s="14" t="s">
        <v>218</v>
      </c>
      <c r="E80" s="34">
        <f>IFERROR(VLOOKUP(Entidad!$B$12&amp;"-"&amp;'Plan Financiero'!$C80,DAF_BalanceFinancieroVA!$A$2:$H$2926,8,FALSE),0)</f>
        <v>0</v>
      </c>
      <c r="F80" s="48">
        <v>0</v>
      </c>
      <c r="G80" s="48">
        <v>0</v>
      </c>
      <c r="H80" s="49">
        <v>0</v>
      </c>
      <c r="I80" s="49">
        <v>0</v>
      </c>
      <c r="J80" s="49">
        <v>0</v>
      </c>
      <c r="K80" s="49">
        <v>0</v>
      </c>
      <c r="L80" s="49">
        <v>0</v>
      </c>
      <c r="M80" s="49">
        <v>0</v>
      </c>
      <c r="N80" s="49">
        <v>0</v>
      </c>
      <c r="O80" s="49">
        <v>0</v>
      </c>
      <c r="P80" s="49">
        <v>0</v>
      </c>
      <c r="Q80" s="48">
        <f t="shared" si="75"/>
        <v>0</v>
      </c>
    </row>
    <row r="81" spans="1:17">
      <c r="A81" s="14" t="s">
        <v>1392</v>
      </c>
      <c r="B81" s="14" t="s">
        <v>1396</v>
      </c>
      <c r="C81" s="14" t="s">
        <v>75</v>
      </c>
      <c r="D81" s="14" t="s">
        <v>1403</v>
      </c>
      <c r="E81" s="34">
        <f>SUM(E82:E85)</f>
        <v>2496.17</v>
      </c>
      <c r="F81" s="34">
        <f t="shared" ref="F81:Q81" si="76">SUM(F82:F85)</f>
        <v>1201</v>
      </c>
      <c r="G81" s="34">
        <f t="shared" si="76"/>
        <v>0</v>
      </c>
      <c r="H81" s="34">
        <f t="shared" si="76"/>
        <v>0</v>
      </c>
      <c r="I81" s="34">
        <f t="shared" si="76"/>
        <v>0</v>
      </c>
      <c r="J81" s="34">
        <f t="shared" si="76"/>
        <v>0</v>
      </c>
      <c r="K81" s="34">
        <f t="shared" si="76"/>
        <v>0</v>
      </c>
      <c r="L81" s="34">
        <f t="shared" si="76"/>
        <v>0</v>
      </c>
      <c r="M81" s="34">
        <f t="shared" si="76"/>
        <v>0</v>
      </c>
      <c r="N81" s="34">
        <f t="shared" si="76"/>
        <v>0</v>
      </c>
      <c r="O81" s="34">
        <f t="shared" si="76"/>
        <v>0</v>
      </c>
      <c r="P81" s="34">
        <f t="shared" si="76"/>
        <v>0</v>
      </c>
      <c r="Q81" s="34">
        <f t="shared" si="76"/>
        <v>0</v>
      </c>
    </row>
    <row r="82" spans="1:17">
      <c r="A82" s="14" t="s">
        <v>119</v>
      </c>
      <c r="B82" s="14" t="s">
        <v>1396</v>
      </c>
      <c r="C82" s="14" t="s">
        <v>1399</v>
      </c>
      <c r="D82" s="14" t="s">
        <v>1404</v>
      </c>
      <c r="E82" s="34">
        <f>IFERROR(VLOOKUP(Entidad!$B$12&amp;"-"&amp;'Plan Financiero'!$C82,DAF_BalanceFinancieroVA!$A$2:$H$2926,8,FALSE),0)</f>
        <v>233.13200000000001</v>
      </c>
      <c r="F82" s="48">
        <v>0</v>
      </c>
      <c r="G82" s="48">
        <v>0</v>
      </c>
      <c r="H82" s="49">
        <v>0</v>
      </c>
      <c r="I82" s="49">
        <v>0</v>
      </c>
      <c r="J82" s="49">
        <v>0</v>
      </c>
      <c r="K82" s="49">
        <v>0</v>
      </c>
      <c r="L82" s="49">
        <v>0</v>
      </c>
      <c r="M82" s="49">
        <v>0</v>
      </c>
      <c r="N82" s="49">
        <v>0</v>
      </c>
      <c r="O82" s="49">
        <v>0</v>
      </c>
      <c r="P82" s="49">
        <v>0</v>
      </c>
      <c r="Q82" s="48">
        <f t="shared" si="75"/>
        <v>0</v>
      </c>
    </row>
    <row r="83" spans="1:17">
      <c r="A83" s="14" t="s">
        <v>119</v>
      </c>
      <c r="B83" s="14" t="s">
        <v>1396</v>
      </c>
      <c r="C83" s="14" t="s">
        <v>1401</v>
      </c>
      <c r="D83" s="14" t="s">
        <v>1405</v>
      </c>
      <c r="E83" s="34">
        <f>IFERROR(VLOOKUP(Entidad!$B$12&amp;"-"&amp;'Plan Financiero'!$C83,DAF_BalanceFinancieroVA!$A$2:$H$2926,8,FALSE),0)</f>
        <v>0</v>
      </c>
      <c r="F83" s="48">
        <v>92</v>
      </c>
      <c r="G83" s="48">
        <v>0</v>
      </c>
      <c r="H83" s="49">
        <v>0</v>
      </c>
      <c r="I83" s="49">
        <v>0</v>
      </c>
      <c r="J83" s="49">
        <v>0</v>
      </c>
      <c r="K83" s="49">
        <v>0</v>
      </c>
      <c r="L83" s="49">
        <v>0</v>
      </c>
      <c r="M83" s="49">
        <v>0</v>
      </c>
      <c r="N83" s="49">
        <v>0</v>
      </c>
      <c r="O83" s="49">
        <v>0</v>
      </c>
      <c r="P83" s="49">
        <v>0</v>
      </c>
      <c r="Q83" s="48">
        <f t="shared" si="75"/>
        <v>0</v>
      </c>
    </row>
    <row r="84" spans="1:17">
      <c r="A84" s="14" t="s">
        <v>119</v>
      </c>
      <c r="B84" s="14" t="s">
        <v>1396</v>
      </c>
      <c r="C84" s="14" t="s">
        <v>1402</v>
      </c>
      <c r="D84" s="14" t="s">
        <v>1406</v>
      </c>
      <c r="E84" s="34">
        <f>IFERROR(VLOOKUP(Entidad!$B$12&amp;"-"&amp;'Plan Financiero'!$C84,DAF_BalanceFinancieroVA!$A$2:$H$2926,8,FALSE),0)</f>
        <v>2187.9319999999998</v>
      </c>
      <c r="F84" s="48">
        <v>1109</v>
      </c>
      <c r="G84" s="48">
        <v>0</v>
      </c>
      <c r="H84" s="49">
        <v>0</v>
      </c>
      <c r="I84" s="49">
        <v>0</v>
      </c>
      <c r="J84" s="49">
        <v>0</v>
      </c>
      <c r="K84" s="49">
        <v>0</v>
      </c>
      <c r="L84" s="49">
        <v>0</v>
      </c>
      <c r="M84" s="49">
        <v>0</v>
      </c>
      <c r="N84" s="49">
        <v>0</v>
      </c>
      <c r="O84" s="49">
        <v>0</v>
      </c>
      <c r="P84" s="49">
        <v>0</v>
      </c>
      <c r="Q84" s="48">
        <f t="shared" si="75"/>
        <v>0</v>
      </c>
    </row>
    <row r="85" spans="1:17">
      <c r="A85" s="14" t="s">
        <v>119</v>
      </c>
      <c r="B85" s="14" t="s">
        <v>1396</v>
      </c>
      <c r="C85" s="14" t="s">
        <v>1400</v>
      </c>
      <c r="D85" s="14" t="s">
        <v>1407</v>
      </c>
      <c r="E85" s="34">
        <f>IFERROR(VLOOKUP(Entidad!$B$12&amp;"-"&amp;'Plan Financiero'!$C85,DAF_BalanceFinancieroVA!$A$2:$H$2926,8,FALSE),0)</f>
        <v>75.105999999999995</v>
      </c>
      <c r="F85" s="48">
        <v>0</v>
      </c>
      <c r="G85" s="48">
        <v>0</v>
      </c>
      <c r="H85" s="49">
        <v>0</v>
      </c>
      <c r="I85" s="49">
        <v>0</v>
      </c>
      <c r="J85" s="49">
        <v>0</v>
      </c>
      <c r="K85" s="49">
        <v>0</v>
      </c>
      <c r="L85" s="49">
        <v>0</v>
      </c>
      <c r="M85" s="49">
        <v>0</v>
      </c>
      <c r="N85" s="49">
        <v>0</v>
      </c>
      <c r="O85" s="49">
        <v>0</v>
      </c>
      <c r="P85" s="49">
        <v>0</v>
      </c>
      <c r="Q85" s="48">
        <f t="shared" si="75"/>
        <v>0</v>
      </c>
    </row>
    <row r="86" spans="1:17">
      <c r="A86" s="14" t="s">
        <v>119</v>
      </c>
      <c r="B86" s="14" t="s">
        <v>1396</v>
      </c>
      <c r="C86" s="14" t="s">
        <v>76</v>
      </c>
      <c r="D86" s="14" t="s">
        <v>219</v>
      </c>
      <c r="E86" s="34">
        <f>IFERROR(VLOOKUP(Entidad!$B$12&amp;"-"&amp;'Plan Financiero'!$C86,DAF_BalanceFinancieroVA!$A$2:$H$2926,8,FALSE),0)</f>
        <v>0</v>
      </c>
      <c r="F86" s="48">
        <f>IFERROR(VLOOKUP(Entidad!$B$12&amp;"-"&amp;'Plan Financiero'!$C86,DAF_BalanceFinancieroVA!$A$2:$H$2926,8,FALSE),0)</f>
        <v>0</v>
      </c>
      <c r="G86" s="48">
        <f>IFERROR(VLOOKUP(Entidad!$B$12&amp;"-"&amp;'Plan Financiero'!$C86,DAF_BalanceFinancieroVA!$A$2:$H$2926,8,FALSE),0)</f>
        <v>0</v>
      </c>
      <c r="H86" s="48">
        <f>IFERROR(VLOOKUP(Entidad!$B$12&amp;"-"&amp;'Plan Financiero'!$C86,DAF_BalanceFinancieroVA!$A$2:$H$2926,8,FALSE),0)</f>
        <v>0</v>
      </c>
      <c r="I86" s="48">
        <f>IFERROR(VLOOKUP(Entidad!$B$12&amp;"-"&amp;'Plan Financiero'!$C86,DAF_BalanceFinancieroVA!$A$2:$H$2926,8,FALSE),0)</f>
        <v>0</v>
      </c>
      <c r="J86" s="48">
        <f>IFERROR(VLOOKUP(Entidad!$B$12&amp;"-"&amp;'Plan Financiero'!$C86,DAF_BalanceFinancieroVA!$A$2:$H$2926,8,FALSE),0)</f>
        <v>0</v>
      </c>
      <c r="K86" s="48">
        <f>IFERROR(VLOOKUP(Entidad!$B$12&amp;"-"&amp;'Plan Financiero'!$C86,DAF_BalanceFinancieroVA!$A$2:$H$2926,8,FALSE),0)</f>
        <v>0</v>
      </c>
      <c r="L86" s="48">
        <f>IFERROR(VLOOKUP(Entidad!$B$12&amp;"-"&amp;'Plan Financiero'!$C86,DAF_BalanceFinancieroVA!$A$2:$H$2926,8,FALSE),0)</f>
        <v>0</v>
      </c>
      <c r="M86" s="48">
        <f>IFERROR(VLOOKUP(Entidad!$B$12&amp;"-"&amp;'Plan Financiero'!$C86,DAF_BalanceFinancieroVA!$A$2:$H$2926,8,FALSE),0)</f>
        <v>0</v>
      </c>
      <c r="N86" s="48">
        <f>IFERROR(VLOOKUP(Entidad!$B$12&amp;"-"&amp;'Plan Financiero'!$C86,DAF_BalanceFinancieroVA!$A$2:$H$2926,8,FALSE),0)</f>
        <v>0</v>
      </c>
      <c r="O86" s="48">
        <f>IFERROR(VLOOKUP(Entidad!$B$12&amp;"-"&amp;'Plan Financiero'!$C86,DAF_BalanceFinancieroVA!$A$2:$H$2926,8,FALSE),0)</f>
        <v>0</v>
      </c>
      <c r="P86" s="48">
        <f>IFERROR(VLOOKUP(Entidad!$B$12&amp;"-"&amp;'Plan Financiero'!$C86,DAF_BalanceFinancieroVA!$A$2:$H$2926,8,FALSE),0)</f>
        <v>0</v>
      </c>
      <c r="Q86" s="48">
        <f>IFERROR(VLOOKUP(Entidad!$B$12&amp;"-"&amp;'Plan Financiero'!$C86,DAF_BalanceFinancieroVA!$A$2:$H$2926,8,FALSE),0)</f>
        <v>0</v>
      </c>
    </row>
    <row r="87" spans="1:17">
      <c r="A87" s="14" t="s">
        <v>1392</v>
      </c>
      <c r="B87" s="14" t="s">
        <v>1395</v>
      </c>
      <c r="C87" s="11" t="s">
        <v>77</v>
      </c>
      <c r="D87" s="11" t="s">
        <v>78</v>
      </c>
      <c r="E87" s="13">
        <f t="shared" ref="E87" si="77">E88+E95</f>
        <v>5949.0549999999994</v>
      </c>
      <c r="F87" s="13">
        <f t="shared" ref="F87" si="78">F88+F95</f>
        <v>5620.1901099699999</v>
      </c>
      <c r="G87" s="13">
        <f t="shared" ref="G87:P87" si="79">G88+G95</f>
        <v>2781.6108618850003</v>
      </c>
      <c r="H87" s="13">
        <f t="shared" si="79"/>
        <v>2563.1105831833502</v>
      </c>
      <c r="I87" s="13">
        <f t="shared" si="79"/>
        <v>2372.8695215023022</v>
      </c>
      <c r="J87" s="13">
        <f t="shared" si="79"/>
        <v>2420.3269119323486</v>
      </c>
      <c r="K87" s="13">
        <f t="shared" si="79"/>
        <v>2440.6401205190432</v>
      </c>
      <c r="L87" s="13">
        <f t="shared" si="79"/>
        <v>2475.4062581034486</v>
      </c>
      <c r="M87" s="13">
        <f t="shared" si="79"/>
        <v>2496.5401203170459</v>
      </c>
      <c r="N87" s="13">
        <f t="shared" si="79"/>
        <v>2532.2837912491514</v>
      </c>
      <c r="O87" s="13">
        <f t="shared" si="79"/>
        <v>2568.6004642851562</v>
      </c>
      <c r="P87" s="13">
        <f t="shared" si="79"/>
        <v>2493.3630624941543</v>
      </c>
      <c r="Q87" s="13">
        <f t="shared" ref="Q87" si="80">Q88+Q95</f>
        <v>2568.1639543689789</v>
      </c>
    </row>
    <row r="88" spans="1:17">
      <c r="A88" s="14" t="s">
        <v>1392</v>
      </c>
      <c r="B88" s="14" t="s">
        <v>1395</v>
      </c>
      <c r="C88" s="32" t="s">
        <v>79</v>
      </c>
      <c r="D88" s="32" t="s">
        <v>220</v>
      </c>
      <c r="E88" s="29">
        <f t="shared" ref="E88" si="81">SUM(E89:E94)</f>
        <v>5949.0549999999994</v>
      </c>
      <c r="F88" s="29">
        <f t="shared" ref="F88" si="82">SUM(F89:F94)</f>
        <v>5620.1901099699999</v>
      </c>
      <c r="G88" s="29">
        <f t="shared" ref="G88:P88" si="83">SUM(G89:G94)</f>
        <v>2781.6108618850003</v>
      </c>
      <c r="H88" s="29">
        <f t="shared" si="83"/>
        <v>2563.1105831833502</v>
      </c>
      <c r="I88" s="29">
        <f t="shared" si="83"/>
        <v>2372.8695215023022</v>
      </c>
      <c r="J88" s="29">
        <f t="shared" si="83"/>
        <v>2420.3269119323486</v>
      </c>
      <c r="K88" s="29">
        <f t="shared" si="83"/>
        <v>2440.6401205190432</v>
      </c>
      <c r="L88" s="29">
        <f t="shared" si="83"/>
        <v>2475.4062581034486</v>
      </c>
      <c r="M88" s="29">
        <f t="shared" si="83"/>
        <v>2496.5401203170459</v>
      </c>
      <c r="N88" s="29">
        <f t="shared" si="83"/>
        <v>2532.2837912491514</v>
      </c>
      <c r="O88" s="29">
        <f t="shared" si="83"/>
        <v>2568.6004642851562</v>
      </c>
      <c r="P88" s="29">
        <f t="shared" si="83"/>
        <v>2493.3630624941543</v>
      </c>
      <c r="Q88" s="29">
        <f t="shared" ref="Q88" si="84">SUM(Q89:Q94)</f>
        <v>2568.1639543689789</v>
      </c>
    </row>
    <row r="89" spans="1:17">
      <c r="A89" s="14" t="s">
        <v>119</v>
      </c>
      <c r="B89" s="14" t="s">
        <v>131</v>
      </c>
      <c r="C89" s="14" t="s">
        <v>80</v>
      </c>
      <c r="D89" s="14" t="s">
        <v>221</v>
      </c>
      <c r="E89" s="34">
        <f>IFERROR(VLOOKUP(Entidad!$B$12&amp;"-"&amp;'Plan Financiero'!$C89,DAF_BalanceFinancieroVA!$A$2:$H$2926,8,FALSE),0)</f>
        <v>13.823</v>
      </c>
      <c r="F89" s="48">
        <v>342.54742299999998</v>
      </c>
      <c r="G89" s="48">
        <v>366.03793839999997</v>
      </c>
      <c r="H89" s="48">
        <v>340.41528271200002</v>
      </c>
      <c r="I89" s="48">
        <v>316.58621292216003</v>
      </c>
      <c r="J89" s="48">
        <v>322.91793718060325</v>
      </c>
      <c r="K89" s="48">
        <v>322.91793718060325</v>
      </c>
      <c r="L89" s="48">
        <v>326.14711655240927</v>
      </c>
      <c r="M89" s="48">
        <v>326.14711655240927</v>
      </c>
      <c r="N89" s="48">
        <v>329.40858771793336</v>
      </c>
      <c r="O89" s="48">
        <v>332.70267359511269</v>
      </c>
      <c r="P89" s="48">
        <v>336.02970033106379</v>
      </c>
      <c r="Q89" s="48">
        <f t="shared" ref="Q89:Q95" si="85">IF($F$1="NO","",P89*(1+$Q$3))</f>
        <v>346.11059134099571</v>
      </c>
    </row>
    <row r="90" spans="1:17">
      <c r="A90" s="14" t="s">
        <v>119</v>
      </c>
      <c r="B90" s="14" t="s">
        <v>131</v>
      </c>
      <c r="C90" s="14" t="s">
        <v>81</v>
      </c>
      <c r="D90" s="14" t="s">
        <v>222</v>
      </c>
      <c r="E90" s="34">
        <f>IFERROR(VLOOKUP(Entidad!$B$12&amp;"-"&amp;'Plan Financiero'!$C90,DAF_BalanceFinancieroVA!$A$2:$H$2926,8,FALSE),0)</f>
        <v>1757.548</v>
      </c>
      <c r="F90" s="48">
        <v>230.15335099999999</v>
      </c>
      <c r="G90" s="48">
        <v>230.15335099999999</v>
      </c>
      <c r="H90" s="48">
        <v>214.04261643000001</v>
      </c>
      <c r="I90" s="48">
        <v>199.05963327990003</v>
      </c>
      <c r="J90" s="48">
        <v>203.04082594549803</v>
      </c>
      <c r="K90" s="48">
        <v>203.04082594549803</v>
      </c>
      <c r="L90" s="48">
        <v>205.07123420495302</v>
      </c>
      <c r="M90" s="48">
        <v>205.07123420495302</v>
      </c>
      <c r="N90" s="48">
        <v>207.12194654700255</v>
      </c>
      <c r="O90" s="48">
        <v>209.19316601247257</v>
      </c>
      <c r="P90" s="48">
        <v>211.28509767259729</v>
      </c>
      <c r="Q90" s="48">
        <f t="shared" si="85"/>
        <v>217.6236506027752</v>
      </c>
    </row>
    <row r="91" spans="1:17">
      <c r="A91" s="14" t="s">
        <v>119</v>
      </c>
      <c r="B91" s="14" t="s">
        <v>131</v>
      </c>
      <c r="C91" s="14" t="s">
        <v>82</v>
      </c>
      <c r="D91" s="14" t="s">
        <v>223</v>
      </c>
      <c r="E91" s="34">
        <f>IFERROR(VLOOKUP(Entidad!$B$12&amp;"-"&amp;'Plan Financiero'!$C91,DAF_BalanceFinancieroVA!$A$2:$H$2926,8,FALSE),0)</f>
        <v>878.08399999999995</v>
      </c>
      <c r="F91" s="48">
        <v>630.20095100000003</v>
      </c>
      <c r="G91" s="48">
        <v>504.16076080000005</v>
      </c>
      <c r="H91" s="48">
        <v>468.86950754400004</v>
      </c>
      <c r="I91" s="48">
        <v>436.04864201592005</v>
      </c>
      <c r="J91" s="48">
        <v>444.76961485623843</v>
      </c>
      <c r="K91" s="48">
        <v>444.76961485623843</v>
      </c>
      <c r="L91" s="48">
        <v>449.21731100480082</v>
      </c>
      <c r="M91" s="48">
        <v>449.21731100480082</v>
      </c>
      <c r="N91" s="48">
        <v>453.70948411484881</v>
      </c>
      <c r="O91" s="48">
        <v>458.24657895599728</v>
      </c>
      <c r="P91" s="48">
        <v>462.82904474555727</v>
      </c>
      <c r="Q91" s="48">
        <f t="shared" si="85"/>
        <v>476.71391608792402</v>
      </c>
    </row>
    <row r="92" spans="1:17">
      <c r="A92" s="14" t="s">
        <v>119</v>
      </c>
      <c r="B92" s="14" t="s">
        <v>131</v>
      </c>
      <c r="C92" s="14" t="s">
        <v>83</v>
      </c>
      <c r="D92" s="14" t="s">
        <v>224</v>
      </c>
      <c r="E92" s="34">
        <f>IFERROR(VLOOKUP(Entidad!$B$12&amp;"-"&amp;'Plan Financiero'!$C92,DAF_BalanceFinancieroVA!$A$2:$H$2926,8,FALSE),0)</f>
        <v>31.649000000000001</v>
      </c>
      <c r="F92" s="48">
        <v>93</v>
      </c>
      <c r="G92" s="48">
        <v>27.9</v>
      </c>
      <c r="H92" s="48">
        <v>25.946999999999999</v>
      </c>
      <c r="I92" s="48">
        <v>24.130710000000001</v>
      </c>
      <c r="J92" s="48">
        <v>24.613324200000001</v>
      </c>
      <c r="K92" s="48">
        <v>24.613324200000001</v>
      </c>
      <c r="L92" s="48">
        <v>24.859457442</v>
      </c>
      <c r="M92" s="48">
        <v>24.859457442</v>
      </c>
      <c r="N92" s="48">
        <v>25.10805201642</v>
      </c>
      <c r="O92" s="48">
        <v>25.359132536584202</v>
      </c>
      <c r="P92" s="48">
        <v>25.612723861950045</v>
      </c>
      <c r="Q92" s="48">
        <f t="shared" si="85"/>
        <v>26.381105577808547</v>
      </c>
    </row>
    <row r="93" spans="1:17">
      <c r="A93" s="14" t="s">
        <v>119</v>
      </c>
      <c r="B93" s="14" t="s">
        <v>131</v>
      </c>
      <c r="C93" s="14" t="s">
        <v>84</v>
      </c>
      <c r="D93" s="14" t="s">
        <v>225</v>
      </c>
      <c r="E93" s="34">
        <f>IFERROR(VLOOKUP(Entidad!$B$12&amp;"-"&amp;'Plan Financiero'!$C93,DAF_BalanceFinancieroVA!$A$2:$H$2926,8,FALSE),0)</f>
        <v>1366.287</v>
      </c>
      <c r="F93" s="48">
        <v>1715.536548</v>
      </c>
      <c r="G93" s="48">
        <v>463.98289320000003</v>
      </c>
      <c r="H93" s="48">
        <v>431.50409067600003</v>
      </c>
      <c r="I93" s="48">
        <v>401.29880432868003</v>
      </c>
      <c r="J93" s="48">
        <v>409.32478041525366</v>
      </c>
      <c r="K93" s="48">
        <v>409.32478041525366</v>
      </c>
      <c r="L93" s="48">
        <v>413.41802821940621</v>
      </c>
      <c r="M93" s="48">
        <v>413.41802821940621</v>
      </c>
      <c r="N93" s="48">
        <v>417.55220850160026</v>
      </c>
      <c r="O93" s="48">
        <v>421.72773058661625</v>
      </c>
      <c r="P93" s="48">
        <v>425.94500789248241</v>
      </c>
      <c r="Q93" s="48">
        <f t="shared" si="85"/>
        <v>438.72335812925689</v>
      </c>
    </row>
    <row r="94" spans="1:17">
      <c r="A94" s="14" t="s">
        <v>119</v>
      </c>
      <c r="B94" s="14" t="s">
        <v>131</v>
      </c>
      <c r="C94" s="14" t="s">
        <v>85</v>
      </c>
      <c r="D94" s="14" t="s">
        <v>226</v>
      </c>
      <c r="E94" s="34">
        <f>IFERROR(VLOOKUP(Entidad!$B$12&amp;"-"&amp;'Plan Financiero'!$C94,DAF_BalanceFinancieroVA!$A$2:$H$2926,8,FALSE),0)</f>
        <v>1901.664</v>
      </c>
      <c r="F94" s="48">
        <v>2608.7518369700001</v>
      </c>
      <c r="G94" s="48">
        <v>1189.3759184850001</v>
      </c>
      <c r="H94" s="48">
        <v>1082.3320858213501</v>
      </c>
      <c r="I94" s="48">
        <v>995.74551895564218</v>
      </c>
      <c r="J94" s="48">
        <v>1015.660429334755</v>
      </c>
      <c r="K94" s="48">
        <v>1035.9736379214501</v>
      </c>
      <c r="L94" s="48">
        <v>1056.6931106798791</v>
      </c>
      <c r="M94" s="48">
        <v>1077.8269728934767</v>
      </c>
      <c r="N94" s="48">
        <v>1099.3835123513463</v>
      </c>
      <c r="O94" s="48">
        <v>1121.3711825983733</v>
      </c>
      <c r="P94" s="48">
        <v>1031.6614879905035</v>
      </c>
      <c r="Q94" s="48">
        <f t="shared" si="85"/>
        <v>1062.6113326302186</v>
      </c>
    </row>
    <row r="95" spans="1:17">
      <c r="A95" s="14" t="s">
        <v>119</v>
      </c>
      <c r="B95" s="14" t="s">
        <v>131</v>
      </c>
      <c r="C95" s="19" t="s">
        <v>86</v>
      </c>
      <c r="D95" s="19" t="s">
        <v>227</v>
      </c>
      <c r="E95" s="34">
        <f>IFERROR(VLOOKUP(Entidad!$B$12&amp;"-"&amp;'Plan Financiero'!$C95,DAF_BalanceFinancieroVA!$A$2:$H$2926,8,FALSE),0)</f>
        <v>0</v>
      </c>
      <c r="F95" s="50">
        <v>0</v>
      </c>
      <c r="G95" s="50">
        <v>0</v>
      </c>
      <c r="H95" s="48">
        <v>0</v>
      </c>
      <c r="I95" s="48">
        <v>0</v>
      </c>
      <c r="J95" s="48">
        <v>0</v>
      </c>
      <c r="K95" s="48">
        <v>0</v>
      </c>
      <c r="L95" s="48">
        <v>0</v>
      </c>
      <c r="M95" s="48">
        <v>0</v>
      </c>
      <c r="N95" s="48">
        <v>0</v>
      </c>
      <c r="O95" s="48">
        <v>0</v>
      </c>
      <c r="P95" s="48">
        <v>0</v>
      </c>
      <c r="Q95" s="48">
        <f t="shared" si="85"/>
        <v>0</v>
      </c>
    </row>
    <row r="96" spans="1:17">
      <c r="A96" s="14" t="s">
        <v>1392</v>
      </c>
      <c r="B96" s="14" t="s">
        <v>1395</v>
      </c>
      <c r="C96" s="11" t="s">
        <v>87</v>
      </c>
      <c r="D96" s="11" t="s">
        <v>88</v>
      </c>
      <c r="E96" s="13">
        <f t="shared" ref="E96" si="86">E75-E87</f>
        <v>-3272.5849999999991</v>
      </c>
      <c r="F96" s="13">
        <f t="shared" ref="F96" si="87">F75-F87</f>
        <v>-4205.6928489700003</v>
      </c>
      <c r="G96" s="13">
        <f t="shared" ref="G96:P96" si="88">G75-G87</f>
        <v>-2780.7086156550004</v>
      </c>
      <c r="H96" s="13">
        <f t="shared" si="88"/>
        <v>-2562.1812695664503</v>
      </c>
      <c r="I96" s="13">
        <f t="shared" si="88"/>
        <v>-2371.9123284768953</v>
      </c>
      <c r="J96" s="13">
        <f t="shared" si="88"/>
        <v>-2419.3410031161793</v>
      </c>
      <c r="K96" s="13">
        <f t="shared" si="88"/>
        <v>-2439.624634438389</v>
      </c>
      <c r="L96" s="13">
        <f t="shared" si="88"/>
        <v>-2474.3603074403745</v>
      </c>
      <c r="M96" s="13">
        <f t="shared" si="88"/>
        <v>-2495.4627911340799</v>
      </c>
      <c r="N96" s="13">
        <f t="shared" si="88"/>
        <v>-2531.1741421906963</v>
      </c>
      <c r="O96" s="13">
        <f t="shared" si="88"/>
        <v>-2567.4575257549473</v>
      </c>
      <c r="P96" s="13">
        <f t="shared" si="88"/>
        <v>-2492.1858358080394</v>
      </c>
      <c r="Q96" s="13">
        <f t="shared" ref="Q96" si="89">Q75-Q87</f>
        <v>-2566.9514108822805</v>
      </c>
    </row>
    <row r="97" spans="1:17">
      <c r="A97" s="14" t="s">
        <v>1392</v>
      </c>
      <c r="B97" s="14" t="s">
        <v>1395</v>
      </c>
      <c r="C97" s="11" t="s">
        <v>89</v>
      </c>
      <c r="D97" s="11" t="s">
        <v>90</v>
      </c>
      <c r="E97" s="13">
        <f t="shared" ref="E97" si="90">E5-E47</f>
        <v>-1397.6689999999981</v>
      </c>
      <c r="F97" s="13">
        <f t="shared" ref="F97" si="91">F5-F47</f>
        <v>-1876.1042460250028</v>
      </c>
      <c r="G97" s="13">
        <f t="shared" ref="G97:P97" si="92">G5-G47</f>
        <v>-516.78430233895051</v>
      </c>
      <c r="H97" s="13">
        <f t="shared" si="92"/>
        <v>567.56987973697869</v>
      </c>
      <c r="I97" s="13">
        <f t="shared" si="92"/>
        <v>491.95954322843863</v>
      </c>
      <c r="J97" s="13">
        <f t="shared" si="92"/>
        <v>274.02732856242619</v>
      </c>
      <c r="K97" s="13">
        <f t="shared" si="92"/>
        <v>290.63460976528222</v>
      </c>
      <c r="L97" s="13">
        <f t="shared" si="92"/>
        <v>225.78601844680998</v>
      </c>
      <c r="M97" s="13">
        <f t="shared" si="92"/>
        <v>235.72490385094534</v>
      </c>
      <c r="N97" s="13">
        <f t="shared" si="92"/>
        <v>113.59559916562648</v>
      </c>
      <c r="O97" s="13">
        <f t="shared" si="92"/>
        <v>25.029934639800558</v>
      </c>
      <c r="P97" s="13">
        <f t="shared" si="92"/>
        <v>12.988888585041423</v>
      </c>
      <c r="Q97" s="13">
        <f t="shared" ref="Q97" si="93">Q5-Q47</f>
        <v>13.378555242596121</v>
      </c>
    </row>
    <row r="98" spans="1:17">
      <c r="A98" s="14" t="s">
        <v>1392</v>
      </c>
      <c r="B98" s="14" t="s">
        <v>1395</v>
      </c>
      <c r="C98" s="11" t="s">
        <v>91</v>
      </c>
      <c r="D98" s="11" t="s">
        <v>92</v>
      </c>
      <c r="E98" s="13">
        <f t="shared" ref="E98" si="94">E99+E106+E107+E108+E109</f>
        <v>2607.8889999999997</v>
      </c>
      <c r="F98" s="13">
        <f t="shared" ref="F98" si="95">F99+F106+F107+F108+F109</f>
        <v>3140.8358360000002</v>
      </c>
      <c r="G98" s="13">
        <f t="shared" ref="G98:P98" si="96">G99+G106+G107+G108+G109</f>
        <v>856.00215939999998</v>
      </c>
      <c r="H98" s="13">
        <f t="shared" si="96"/>
        <v>153.81114448200003</v>
      </c>
      <c r="I98" s="13">
        <f t="shared" si="96"/>
        <v>296.93547881646009</v>
      </c>
      <c r="J98" s="13">
        <f t="shared" si="96"/>
        <v>329.57354318095395</v>
      </c>
      <c r="K98" s="13">
        <f t="shared" si="96"/>
        <v>347.74074947638258</v>
      </c>
      <c r="L98" s="13">
        <f t="shared" si="96"/>
        <v>366.45297196067406</v>
      </c>
      <c r="M98" s="13">
        <f t="shared" si="96"/>
        <v>661.72656111949425</v>
      </c>
      <c r="N98" s="13">
        <f t="shared" si="96"/>
        <v>681.57835795307915</v>
      </c>
      <c r="O98" s="13">
        <f t="shared" si="96"/>
        <v>702.02570869167153</v>
      </c>
      <c r="P98" s="13">
        <f t="shared" si="96"/>
        <v>723.08647995242166</v>
      </c>
      <c r="Q98" s="13">
        <f t="shared" ref="Q98" si="97">Q99+Q106+Q107+Q108+Q109</f>
        <v>744.77907435099428</v>
      </c>
    </row>
    <row r="99" spans="1:17">
      <c r="A99" s="14" t="s">
        <v>1392</v>
      </c>
      <c r="B99" s="14" t="s">
        <v>1395</v>
      </c>
      <c r="C99" s="32" t="s">
        <v>93</v>
      </c>
      <c r="D99" s="31" t="s">
        <v>228</v>
      </c>
      <c r="E99" s="29">
        <f t="shared" ref="E99" si="98">E100+E103</f>
        <v>-247.11699999999999</v>
      </c>
      <c r="F99" s="29">
        <f t="shared" ref="F99" si="99">F100+F103</f>
        <v>1139</v>
      </c>
      <c r="G99" s="29">
        <f t="shared" ref="G99:P99" si="100">G100+G103</f>
        <v>-221</v>
      </c>
      <c r="H99" s="29">
        <f t="shared" si="100"/>
        <v>-417</v>
      </c>
      <c r="I99" s="29">
        <f t="shared" si="100"/>
        <v>-291</v>
      </c>
      <c r="J99" s="29">
        <f t="shared" si="100"/>
        <v>-276</v>
      </c>
      <c r="K99" s="29">
        <f t="shared" si="100"/>
        <v>-276</v>
      </c>
      <c r="L99" s="29">
        <f t="shared" si="100"/>
        <v>-276</v>
      </c>
      <c r="M99" s="29">
        <f t="shared" si="100"/>
        <v>0</v>
      </c>
      <c r="N99" s="29">
        <f t="shared" si="100"/>
        <v>0</v>
      </c>
      <c r="O99" s="29">
        <f t="shared" si="100"/>
        <v>0</v>
      </c>
      <c r="P99" s="29">
        <f t="shared" si="100"/>
        <v>0</v>
      </c>
      <c r="Q99" s="29">
        <f t="shared" ref="Q99" si="101">Q100+Q103</f>
        <v>0</v>
      </c>
    </row>
    <row r="100" spans="1:17">
      <c r="A100" s="14" t="s">
        <v>1392</v>
      </c>
      <c r="B100" s="14" t="s">
        <v>1395</v>
      </c>
      <c r="C100" s="32" t="s">
        <v>94</v>
      </c>
      <c r="D100" s="31" t="s">
        <v>229</v>
      </c>
      <c r="E100" s="29">
        <f t="shared" ref="E100" si="102">E101-E102</f>
        <v>-247.11699999999999</v>
      </c>
      <c r="F100" s="29">
        <f t="shared" ref="F100" si="103">F101-F102</f>
        <v>1139</v>
      </c>
      <c r="G100" s="29">
        <f t="shared" ref="G100:P100" si="104">G101-G102</f>
        <v>-221</v>
      </c>
      <c r="H100" s="29">
        <f t="shared" si="104"/>
        <v>-417</v>
      </c>
      <c r="I100" s="29">
        <f t="shared" si="104"/>
        <v>-291</v>
      </c>
      <c r="J100" s="29">
        <f t="shared" si="104"/>
        <v>-276</v>
      </c>
      <c r="K100" s="29">
        <f t="shared" si="104"/>
        <v>-276</v>
      </c>
      <c r="L100" s="29">
        <f t="shared" si="104"/>
        <v>-276</v>
      </c>
      <c r="M100" s="29">
        <f t="shared" si="104"/>
        <v>0</v>
      </c>
      <c r="N100" s="29">
        <f t="shared" si="104"/>
        <v>0</v>
      </c>
      <c r="O100" s="29">
        <f t="shared" si="104"/>
        <v>0</v>
      </c>
      <c r="P100" s="29">
        <f t="shared" si="104"/>
        <v>0</v>
      </c>
      <c r="Q100" s="29">
        <f t="shared" ref="Q100" si="105">Q101-Q102</f>
        <v>0</v>
      </c>
    </row>
    <row r="101" spans="1:17">
      <c r="A101" s="14" t="s">
        <v>119</v>
      </c>
      <c r="B101" s="14" t="s">
        <v>1396</v>
      </c>
      <c r="C101" s="14" t="s">
        <v>95</v>
      </c>
      <c r="D101" s="14" t="s">
        <v>230</v>
      </c>
      <c r="E101" s="34">
        <f>IFERROR(VLOOKUP(Entidad!$B$12&amp;"-"&amp;'Plan Financiero'!$C101,DAF_BalanceFinancieroVA!$A$2:$H$2926,8,FALSE),0)</f>
        <v>0</v>
      </c>
      <c r="F101" s="48">
        <v>1380</v>
      </c>
      <c r="G101" s="48">
        <v>0</v>
      </c>
      <c r="H101" s="48">
        <v>0</v>
      </c>
      <c r="I101" s="48">
        <v>0</v>
      </c>
      <c r="J101" s="48">
        <v>0</v>
      </c>
      <c r="K101" s="48">
        <v>0</v>
      </c>
      <c r="L101" s="48">
        <v>0</v>
      </c>
      <c r="M101" s="48">
        <v>0</v>
      </c>
      <c r="N101" s="48">
        <v>0</v>
      </c>
      <c r="O101" s="48">
        <v>0</v>
      </c>
      <c r="P101" s="48">
        <v>0</v>
      </c>
      <c r="Q101" s="48">
        <f t="shared" ref="Q101:Q108" si="106">IF($F$1="NO","",P101*(1+$Q$3))</f>
        <v>0</v>
      </c>
    </row>
    <row r="102" spans="1:17">
      <c r="A102" s="14" t="s">
        <v>119</v>
      </c>
      <c r="B102" s="14" t="s">
        <v>1397</v>
      </c>
      <c r="C102" s="14" t="s">
        <v>96</v>
      </c>
      <c r="D102" s="14" t="s">
        <v>231</v>
      </c>
      <c r="E102" s="34">
        <f>IFERROR(VLOOKUP(Entidad!$B$12&amp;"-"&amp;'Plan Financiero'!$C102,DAF_BalanceFinancieroVA!$A$2:$H$2926,8,FALSE),0)</f>
        <v>247.11699999999999</v>
      </c>
      <c r="F102" s="48">
        <v>241</v>
      </c>
      <c r="G102" s="48">
        <v>221</v>
      </c>
      <c r="H102" s="48">
        <v>417</v>
      </c>
      <c r="I102" s="48">
        <v>291</v>
      </c>
      <c r="J102" s="48">
        <v>276</v>
      </c>
      <c r="K102" s="48">
        <v>276</v>
      </c>
      <c r="L102" s="48">
        <v>276</v>
      </c>
      <c r="M102" s="48">
        <v>0</v>
      </c>
      <c r="N102" s="48">
        <v>0</v>
      </c>
      <c r="O102" s="48">
        <v>0</v>
      </c>
      <c r="P102" s="48">
        <v>0</v>
      </c>
      <c r="Q102" s="48">
        <f t="shared" si="106"/>
        <v>0</v>
      </c>
    </row>
    <row r="103" spans="1:17">
      <c r="A103" s="14" t="s">
        <v>1392</v>
      </c>
      <c r="B103" s="14" t="s">
        <v>1395</v>
      </c>
      <c r="C103" s="31" t="s">
        <v>97</v>
      </c>
      <c r="D103" s="31" t="s">
        <v>232</v>
      </c>
      <c r="E103" s="29">
        <f>E104-E105</f>
        <v>0</v>
      </c>
      <c r="F103" s="29">
        <f t="shared" ref="F103" si="107">F104-F105</f>
        <v>0</v>
      </c>
      <c r="G103" s="29">
        <f t="shared" ref="G103:P103" si="108">G104-G105</f>
        <v>0</v>
      </c>
      <c r="H103" s="29">
        <f t="shared" si="108"/>
        <v>0</v>
      </c>
      <c r="I103" s="29">
        <f t="shared" si="108"/>
        <v>0</v>
      </c>
      <c r="J103" s="29">
        <f t="shared" si="108"/>
        <v>0</v>
      </c>
      <c r="K103" s="29">
        <f t="shared" si="108"/>
        <v>0</v>
      </c>
      <c r="L103" s="29">
        <f t="shared" si="108"/>
        <v>0</v>
      </c>
      <c r="M103" s="29">
        <f t="shared" si="108"/>
        <v>0</v>
      </c>
      <c r="N103" s="29">
        <f t="shared" si="108"/>
        <v>0</v>
      </c>
      <c r="O103" s="29">
        <f t="shared" si="108"/>
        <v>0</v>
      </c>
      <c r="P103" s="29">
        <f t="shared" si="108"/>
        <v>0</v>
      </c>
      <c r="Q103" s="29">
        <f t="shared" ref="Q103" si="109">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v>0</v>
      </c>
      <c r="I104" s="48">
        <v>0</v>
      </c>
      <c r="J104" s="48">
        <v>0</v>
      </c>
      <c r="K104" s="48">
        <v>0</v>
      </c>
      <c r="L104" s="48">
        <v>0</v>
      </c>
      <c r="M104" s="48">
        <v>0</v>
      </c>
      <c r="N104" s="48">
        <v>0</v>
      </c>
      <c r="O104" s="48">
        <v>0</v>
      </c>
      <c r="P104" s="48">
        <v>0</v>
      </c>
      <c r="Q104" s="48">
        <f t="shared" si="106"/>
        <v>0</v>
      </c>
    </row>
    <row r="105" spans="1:17">
      <c r="A105" s="14" t="s">
        <v>119</v>
      </c>
      <c r="B105" s="14" t="s">
        <v>1397</v>
      </c>
      <c r="C105" s="14" t="s">
        <v>99</v>
      </c>
      <c r="D105" s="14" t="s">
        <v>231</v>
      </c>
      <c r="E105" s="34">
        <f>IFERROR(VLOOKUP(Entidad!$B$12&amp;"-"&amp;'Plan Financiero'!$C105,DAF_BalanceFinancieroVA!$A$2:$H$2926,8,FALSE),0)</f>
        <v>0</v>
      </c>
      <c r="F105" s="48">
        <v>0</v>
      </c>
      <c r="G105" s="48">
        <v>0</v>
      </c>
      <c r="H105" s="48">
        <v>0</v>
      </c>
      <c r="I105" s="48">
        <v>0</v>
      </c>
      <c r="J105" s="48">
        <v>0</v>
      </c>
      <c r="K105" s="48">
        <v>0</v>
      </c>
      <c r="L105" s="48">
        <v>0</v>
      </c>
      <c r="M105" s="48">
        <v>0</v>
      </c>
      <c r="N105" s="48">
        <v>0</v>
      </c>
      <c r="O105" s="48">
        <v>0</v>
      </c>
      <c r="P105" s="48">
        <v>0</v>
      </c>
      <c r="Q105" s="48">
        <f t="shared" si="106"/>
        <v>0</v>
      </c>
    </row>
    <row r="106" spans="1:17">
      <c r="A106" s="14" t="s">
        <v>119</v>
      </c>
      <c r="B106" s="14" t="s">
        <v>1396</v>
      </c>
      <c r="C106" s="20" t="s">
        <v>142</v>
      </c>
      <c r="D106" s="20" t="s">
        <v>233</v>
      </c>
      <c r="E106" s="34">
        <f>IFERROR(VLOOKUP(Entidad!$B$12&amp;"-"&amp;'Plan Financiero'!$C106,DAF_BalanceFinancieroVA!$A$2:$H$2926,8,FALSE),0)</f>
        <v>2855.0059999999999</v>
      </c>
      <c r="F106" s="48">
        <v>2001.835836</v>
      </c>
      <c r="G106" s="48">
        <v>1077.0021594</v>
      </c>
      <c r="H106" s="51">
        <v>570.81114448200003</v>
      </c>
      <c r="I106" s="51">
        <v>587.93547881646009</v>
      </c>
      <c r="J106" s="51">
        <v>605.57354318095395</v>
      </c>
      <c r="K106" s="51">
        <v>623.74074947638258</v>
      </c>
      <c r="L106" s="51">
        <v>642.45297196067406</v>
      </c>
      <c r="M106" s="51">
        <v>661.72656111949425</v>
      </c>
      <c r="N106" s="51">
        <v>681.57835795307915</v>
      </c>
      <c r="O106" s="51">
        <v>702.02570869167153</v>
      </c>
      <c r="P106" s="51">
        <v>723.08647995242166</v>
      </c>
      <c r="Q106" s="48">
        <f t="shared" si="106"/>
        <v>744.77907435099428</v>
      </c>
    </row>
    <row r="107" spans="1:17">
      <c r="A107" s="14" t="s">
        <v>119</v>
      </c>
      <c r="B107" s="14" t="s">
        <v>1396</v>
      </c>
      <c r="C107" s="20" t="s">
        <v>141</v>
      </c>
      <c r="D107" s="20" t="s">
        <v>234</v>
      </c>
      <c r="E107" s="34">
        <f>IFERROR(VLOOKUP(Entidad!$B$12&amp;"-"&amp;'Plan Financiero'!$C107,DAF_BalanceFinancieroVA!$A$2:$H$2926,8,FALSE),0)</f>
        <v>0</v>
      </c>
      <c r="F107" s="48">
        <v>0</v>
      </c>
      <c r="G107" s="48">
        <v>0</v>
      </c>
      <c r="H107" s="51">
        <v>0</v>
      </c>
      <c r="I107" s="51">
        <v>0</v>
      </c>
      <c r="J107" s="51">
        <v>0</v>
      </c>
      <c r="K107" s="51">
        <v>0</v>
      </c>
      <c r="L107" s="51">
        <v>0</v>
      </c>
      <c r="M107" s="51">
        <v>0</v>
      </c>
      <c r="N107" s="51">
        <v>0</v>
      </c>
      <c r="O107" s="51">
        <v>0</v>
      </c>
      <c r="P107" s="51">
        <v>0</v>
      </c>
      <c r="Q107" s="48">
        <f t="shared" si="106"/>
        <v>0</v>
      </c>
    </row>
    <row r="108" spans="1:17">
      <c r="A108" s="14" t="s">
        <v>119</v>
      </c>
      <c r="B108" s="14" t="s">
        <v>1396</v>
      </c>
      <c r="C108" s="20" t="s">
        <v>140</v>
      </c>
      <c r="D108" s="20" t="s">
        <v>235</v>
      </c>
      <c r="E108" s="34">
        <f>IFERROR(VLOOKUP(Entidad!$B$12&amp;"-"&amp;'Plan Financiero'!$C108,DAF_BalanceFinancieroVA!$A$2:$H$2926,8,FALSE),0)</f>
        <v>0</v>
      </c>
      <c r="F108" s="48">
        <v>0</v>
      </c>
      <c r="G108" s="48">
        <v>0</v>
      </c>
      <c r="H108" s="51">
        <v>0</v>
      </c>
      <c r="I108" s="51">
        <v>0</v>
      </c>
      <c r="J108" s="51">
        <v>0</v>
      </c>
      <c r="K108" s="51">
        <v>0</v>
      </c>
      <c r="L108" s="51">
        <v>0</v>
      </c>
      <c r="M108" s="51">
        <v>0</v>
      </c>
      <c r="N108" s="51">
        <v>0</v>
      </c>
      <c r="O108" s="51">
        <v>0</v>
      </c>
      <c r="P108" s="51">
        <v>0</v>
      </c>
      <c r="Q108" s="48">
        <f t="shared" si="106"/>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10">E5-(E49+E63+E64+E65+E87)+E106</f>
        <v>1517.3730000000019</v>
      </c>
      <c r="F111" s="13">
        <f t="shared" ref="F111" si="111">F5-(F49+F63+F64+F65+F87)+F106</f>
        <v>158.73158997499718</v>
      </c>
      <c r="G111" s="13">
        <f t="shared" ref="G111:P111" si="112">G5-(G49+G63+G64+G65+G87)+G106</f>
        <v>668.21785706104947</v>
      </c>
      <c r="H111" s="13">
        <f t="shared" si="112"/>
        <v>1223.3810242189788</v>
      </c>
      <c r="I111" s="13">
        <f t="shared" si="112"/>
        <v>1145.8950220448987</v>
      </c>
      <c r="J111" s="13">
        <f t="shared" si="112"/>
        <v>926.60087174338014</v>
      </c>
      <c r="K111" s="13">
        <f t="shared" si="112"/>
        <v>943.3753592416648</v>
      </c>
      <c r="L111" s="13">
        <f t="shared" si="112"/>
        <v>879.23899040748404</v>
      </c>
      <c r="M111" s="13">
        <f t="shared" si="112"/>
        <v>897.45146497043959</v>
      </c>
      <c r="N111" s="13">
        <f t="shared" si="112"/>
        <v>795.17395711870563</v>
      </c>
      <c r="O111" s="13">
        <f t="shared" si="112"/>
        <v>727.05564333147208</v>
      </c>
      <c r="P111" s="13">
        <f t="shared" si="112"/>
        <v>736.07536853746308</v>
      </c>
      <c r="Q111" s="13">
        <f t="shared" ref="Q111" si="113">Q5-(Q49+Q63+Q64+Q65+Q87)+Q106</f>
        <v>758.1576295935904</v>
      </c>
    </row>
    <row r="112" spans="1:17">
      <c r="A112" s="14" t="s">
        <v>1392</v>
      </c>
      <c r="B112" s="14" t="s">
        <v>1395</v>
      </c>
      <c r="C112" s="19" t="s">
        <v>103</v>
      </c>
      <c r="D112" s="19" t="s">
        <v>238</v>
      </c>
      <c r="E112" s="142">
        <f t="shared" ref="E112" si="114">IF(E111=0,0,IF(E71=0,0,E111/E71))</f>
        <v>25.274385368778763</v>
      </c>
      <c r="F112" s="142">
        <f t="shared" ref="F112" si="115">IF(F111=0,0,IF(F71=0,0,F111/F71))</f>
        <v>4.8100481810605205</v>
      </c>
      <c r="G112" s="142">
        <f t="shared" ref="G112:P112" si="116">IF(G111=0,0,IF(G71=0,0,G111/G71))</f>
        <v>6.1872023801949023</v>
      </c>
      <c r="H112" s="142">
        <f t="shared" si="116"/>
        <v>14.392717931987987</v>
      </c>
      <c r="I112" s="142">
        <f t="shared" si="116"/>
        <v>17.362045788559072</v>
      </c>
      <c r="J112" s="142">
        <f t="shared" si="116"/>
        <v>19.714912164752768</v>
      </c>
      <c r="K112" s="142">
        <f t="shared" si="116"/>
        <v>32.530184801436718</v>
      </c>
      <c r="L112" s="142">
        <f t="shared" si="116"/>
        <v>79.930817309771271</v>
      </c>
      <c r="M112" s="142">
        <f t="shared" si="116"/>
        <v>0</v>
      </c>
      <c r="N112" s="142">
        <f t="shared" si="116"/>
        <v>0</v>
      </c>
      <c r="O112" s="142">
        <f t="shared" si="116"/>
        <v>0</v>
      </c>
      <c r="P112" s="142">
        <f t="shared" si="116"/>
        <v>0</v>
      </c>
      <c r="Q112" s="142">
        <f t="shared" ref="Q112" si="117">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18">E5+E101+E104+E106+E107+E108</f>
        <v>19708.382000000001</v>
      </c>
      <c r="F114" s="21">
        <f t="shared" ref="F114" si="119">F5+F101+F104+F106+F107+F108</f>
        <v>19611.542595399998</v>
      </c>
      <c r="G114" s="21">
        <f t="shared" ref="G114:P114" si="120">G5+G101+G104+G106+G107+G108</f>
        <v>15929.537049512001</v>
      </c>
      <c r="H114" s="21">
        <f t="shared" si="120"/>
        <v>15475.46792676746</v>
      </c>
      <c r="I114" s="21">
        <f t="shared" si="120"/>
        <v>15546.277810040585</v>
      </c>
      <c r="J114" s="21">
        <f t="shared" si="120"/>
        <v>15619.2119898119</v>
      </c>
      <c r="K114" s="21">
        <f t="shared" si="120"/>
        <v>15694.33419497636</v>
      </c>
      <c r="L114" s="21">
        <f t="shared" si="120"/>
        <v>15771.710066295749</v>
      </c>
      <c r="M114" s="21">
        <f t="shared" si="120"/>
        <v>15851.407213754723</v>
      </c>
      <c r="N114" s="21">
        <f t="shared" si="120"/>
        <v>15933.495275637466</v>
      </c>
      <c r="O114" s="21">
        <f t="shared" si="120"/>
        <v>16018.045979376686</v>
      </c>
      <c r="P114" s="21">
        <f t="shared" si="120"/>
        <v>16105.133204228088</v>
      </c>
      <c r="Q114" s="21">
        <f t="shared" ref="Q114" si="121">Q5+Q101+Q104+Q106+Q107+Q108</f>
        <v>16588.287200354935</v>
      </c>
    </row>
    <row r="115" spans="1:17">
      <c r="A115" s="14" t="s">
        <v>1392</v>
      </c>
      <c r="B115" s="14" t="s">
        <v>1395</v>
      </c>
      <c r="C115" s="19" t="s">
        <v>106</v>
      </c>
      <c r="D115" s="19" t="s">
        <v>240</v>
      </c>
      <c r="E115" s="21">
        <f t="shared" ref="E115" si="122">E47+E102+E105</f>
        <v>18498.161999999997</v>
      </c>
      <c r="F115" s="21">
        <f t="shared" ref="F115" si="123">F47+F102+F105</f>
        <v>18346.811005425003</v>
      </c>
      <c r="G115" s="21">
        <f t="shared" ref="G115:P115" si="124">G47+G102+G105</f>
        <v>15590.319192450952</v>
      </c>
      <c r="H115" s="21">
        <f t="shared" si="124"/>
        <v>14754.086902548481</v>
      </c>
      <c r="I115" s="21">
        <f t="shared" si="124"/>
        <v>14757.382787995686</v>
      </c>
      <c r="J115" s="21">
        <f t="shared" si="124"/>
        <v>15015.61111806852</v>
      </c>
      <c r="K115" s="21">
        <f t="shared" si="124"/>
        <v>15055.958835734695</v>
      </c>
      <c r="L115" s="21">
        <f t="shared" si="124"/>
        <v>15179.471075888265</v>
      </c>
      <c r="M115" s="21">
        <f t="shared" si="124"/>
        <v>14953.955748784283</v>
      </c>
      <c r="N115" s="21">
        <f t="shared" si="124"/>
        <v>15138.32131851876</v>
      </c>
      <c r="O115" s="21">
        <f t="shared" si="124"/>
        <v>15290.990336045214</v>
      </c>
      <c r="P115" s="21">
        <f t="shared" si="124"/>
        <v>15369.057835690624</v>
      </c>
      <c r="Q115" s="21">
        <f t="shared" ref="Q115" si="125">Q47+Q102+Q105</f>
        <v>15830.129570761343</v>
      </c>
    </row>
    <row r="116" spans="1:17">
      <c r="A116" s="14" t="s">
        <v>1392</v>
      </c>
      <c r="B116" s="14" t="s">
        <v>1395</v>
      </c>
      <c r="C116" s="11" t="s">
        <v>107</v>
      </c>
      <c r="D116" s="11" t="s">
        <v>241</v>
      </c>
      <c r="E116" s="13">
        <f t="shared" ref="E116" si="126">E114-E115</f>
        <v>1210.2200000000048</v>
      </c>
      <c r="F116" s="13">
        <f t="shared" ref="F116" si="127">F114-F115</f>
        <v>1264.7315899749956</v>
      </c>
      <c r="G116" s="13">
        <f t="shared" ref="G116:P116" si="128">G114-G115</f>
        <v>339.21785706104856</v>
      </c>
      <c r="H116" s="13">
        <f t="shared" si="128"/>
        <v>721.38102421897929</v>
      </c>
      <c r="I116" s="13">
        <f t="shared" si="128"/>
        <v>788.89502204489872</v>
      </c>
      <c r="J116" s="13">
        <f t="shared" si="128"/>
        <v>603.60087174337968</v>
      </c>
      <c r="K116" s="13">
        <f t="shared" si="128"/>
        <v>638.37535924166514</v>
      </c>
      <c r="L116" s="13">
        <f t="shared" si="128"/>
        <v>592.23899040748438</v>
      </c>
      <c r="M116" s="13">
        <f t="shared" si="128"/>
        <v>897.4514649704397</v>
      </c>
      <c r="N116" s="13">
        <f t="shared" si="128"/>
        <v>795.17395711870631</v>
      </c>
      <c r="O116" s="13">
        <f t="shared" si="128"/>
        <v>727.05564333147231</v>
      </c>
      <c r="P116" s="13">
        <f t="shared" si="128"/>
        <v>736.07536853746387</v>
      </c>
      <c r="Q116" s="13">
        <f t="shared" ref="Q116" si="129">Q114-Q115</f>
        <v>758.15762959359199</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688.21</v>
      </c>
      <c r="F119" s="50"/>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0</v>
      </c>
      <c r="F120" s="50"/>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688.21</v>
      </c>
      <c r="F121" s="50"/>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30">E119-E120-E121</f>
        <v>0</v>
      </c>
      <c r="F122" s="13">
        <f t="shared" ref="F122" si="131">F119-F120-F121</f>
        <v>0</v>
      </c>
      <c r="G122" s="13">
        <f t="shared" ref="G122:P122" si="132">G119-G120-G121</f>
        <v>0</v>
      </c>
      <c r="H122" s="13">
        <f t="shared" si="132"/>
        <v>0</v>
      </c>
      <c r="I122" s="13">
        <f t="shared" si="132"/>
        <v>0</v>
      </c>
      <c r="J122" s="13">
        <f t="shared" si="132"/>
        <v>0</v>
      </c>
      <c r="K122" s="13">
        <f t="shared" si="132"/>
        <v>0</v>
      </c>
      <c r="L122" s="13">
        <f t="shared" si="132"/>
        <v>0</v>
      </c>
      <c r="M122" s="13">
        <f t="shared" si="132"/>
        <v>0</v>
      </c>
      <c r="N122" s="13">
        <f t="shared" si="132"/>
        <v>0</v>
      </c>
      <c r="O122" s="13">
        <f t="shared" si="132"/>
        <v>0</v>
      </c>
      <c r="P122" s="13">
        <f t="shared" si="132"/>
        <v>0</v>
      </c>
      <c r="Q122" s="13">
        <f t="shared" ref="Q122" si="133">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34">E114+E119</f>
        <v>20396.592000000001</v>
      </c>
      <c r="F125" s="16">
        <f t="shared" ref="F125" si="135">F114+F119</f>
        <v>19611.542595399998</v>
      </c>
      <c r="G125" s="16">
        <f t="shared" ref="G125:P125" si="136">G114+G119</f>
        <v>15929.537049512001</v>
      </c>
      <c r="H125" s="16">
        <f t="shared" si="136"/>
        <v>15475.46792676746</v>
      </c>
      <c r="I125" s="16">
        <f t="shared" si="136"/>
        <v>15546.277810040585</v>
      </c>
      <c r="J125" s="16">
        <f t="shared" si="136"/>
        <v>15619.2119898119</v>
      </c>
      <c r="K125" s="16">
        <f t="shared" si="136"/>
        <v>15694.33419497636</v>
      </c>
      <c r="L125" s="16">
        <f t="shared" si="136"/>
        <v>15771.710066295749</v>
      </c>
      <c r="M125" s="16">
        <f t="shared" si="136"/>
        <v>15851.407213754723</v>
      </c>
      <c r="N125" s="16">
        <f t="shared" si="136"/>
        <v>15933.495275637466</v>
      </c>
      <c r="O125" s="16">
        <f t="shared" si="136"/>
        <v>16018.045979376686</v>
      </c>
      <c r="P125" s="16">
        <f t="shared" si="136"/>
        <v>16105.133204228088</v>
      </c>
      <c r="Q125" s="16">
        <f t="shared" ref="Q125" si="137">Q114+Q119</f>
        <v>16588.287200354935</v>
      </c>
    </row>
    <row r="126" spans="1:17">
      <c r="A126" s="14" t="s">
        <v>1392</v>
      </c>
      <c r="B126" s="14" t="s">
        <v>1395</v>
      </c>
      <c r="C126" s="19" t="s">
        <v>111</v>
      </c>
      <c r="D126" s="19" t="s">
        <v>246</v>
      </c>
      <c r="E126" s="16">
        <f t="shared" ref="E126" si="138">E115+E120+E121</f>
        <v>19186.371999999996</v>
      </c>
      <c r="F126" s="16">
        <f t="shared" ref="F126" si="139">F115+F120+F121</f>
        <v>18346.811005425003</v>
      </c>
      <c r="G126" s="16">
        <f t="shared" ref="G126:P126" si="140">G115+G120+G121</f>
        <v>15590.319192450952</v>
      </c>
      <c r="H126" s="16">
        <f t="shared" si="140"/>
        <v>14754.086902548481</v>
      </c>
      <c r="I126" s="16">
        <f t="shared" si="140"/>
        <v>14757.382787995686</v>
      </c>
      <c r="J126" s="16">
        <f t="shared" si="140"/>
        <v>15015.61111806852</v>
      </c>
      <c r="K126" s="16">
        <f t="shared" si="140"/>
        <v>15055.958835734695</v>
      </c>
      <c r="L126" s="16">
        <f t="shared" si="140"/>
        <v>15179.471075888265</v>
      </c>
      <c r="M126" s="16">
        <f t="shared" si="140"/>
        <v>14953.955748784283</v>
      </c>
      <c r="N126" s="16">
        <f t="shared" si="140"/>
        <v>15138.32131851876</v>
      </c>
      <c r="O126" s="16">
        <f t="shared" si="140"/>
        <v>15290.990336045214</v>
      </c>
      <c r="P126" s="16">
        <f t="shared" si="140"/>
        <v>15369.057835690624</v>
      </c>
      <c r="Q126" s="16">
        <f t="shared" ref="Q126" si="141">Q115+Q120+Q121</f>
        <v>15830.129570761343</v>
      </c>
    </row>
    <row r="127" spans="1:17">
      <c r="A127" s="14" t="s">
        <v>1392</v>
      </c>
      <c r="B127" s="14" t="s">
        <v>1395</v>
      </c>
      <c r="C127" s="11" t="s">
        <v>112</v>
      </c>
      <c r="D127" s="11" t="s">
        <v>241</v>
      </c>
      <c r="E127" s="13">
        <f t="shared" ref="E127" si="142">E125-E126</f>
        <v>1210.2200000000048</v>
      </c>
      <c r="F127" s="13">
        <f t="shared" ref="F127" si="143">F125-F126</f>
        <v>1264.7315899749956</v>
      </c>
      <c r="G127" s="13">
        <f t="shared" ref="G127:P127" si="144">G125-G126</f>
        <v>339.21785706104856</v>
      </c>
      <c r="H127" s="13">
        <f t="shared" si="144"/>
        <v>721.38102421897929</v>
      </c>
      <c r="I127" s="13">
        <f t="shared" si="144"/>
        <v>788.89502204489872</v>
      </c>
      <c r="J127" s="13">
        <f t="shared" si="144"/>
        <v>603.60087174337968</v>
      </c>
      <c r="K127" s="13">
        <f t="shared" si="144"/>
        <v>638.37535924166514</v>
      </c>
      <c r="L127" s="13">
        <f t="shared" si="144"/>
        <v>592.23899040748438</v>
      </c>
      <c r="M127" s="13">
        <f t="shared" si="144"/>
        <v>897.4514649704397</v>
      </c>
      <c r="N127" s="13">
        <f t="shared" si="144"/>
        <v>795.17395711870631</v>
      </c>
      <c r="O127" s="13">
        <f t="shared" si="144"/>
        <v>727.05564333147231</v>
      </c>
      <c r="P127" s="13">
        <f t="shared" si="144"/>
        <v>736.07536853746387</v>
      </c>
      <c r="Q127" s="13">
        <f t="shared" ref="Q127" si="145">Q125-Q126</f>
        <v>758.15762959359199</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21"/>
  <sheetViews>
    <sheetView zoomScaleNormal="100" workbookViewId="0">
      <pane xSplit="1" ySplit="4" topLeftCell="B5" activePane="bottomRight" state="frozen"/>
      <selection pane="topRight" activeCell="B1" sqref="B1"/>
      <selection pane="bottomLeft" activeCell="A4" sqref="A4"/>
      <selection pane="bottomRight" activeCell="A20" sqref="A20:C21"/>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LA ARGENTINA</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14176.905999999999</v>
      </c>
      <c r="C5" s="55">
        <f>+'Plan Financiero'!F6</f>
        <v>14815.2094984</v>
      </c>
      <c r="D5" s="55">
        <f>+'Plan Financiero'!G6</f>
        <v>14851.632643882002</v>
      </c>
      <c r="E5" s="55">
        <f>+'Plan Financiero'!H6</f>
        <v>14903.72746866856</v>
      </c>
      <c r="F5" s="55">
        <f>+'Plan Financiero'!I6</f>
        <v>14957.385138198717</v>
      </c>
      <c r="G5" s="55">
        <f>+'Plan Financiero'!J6</f>
        <v>15012.652537814778</v>
      </c>
      <c r="H5" s="55">
        <f>+'Plan Financiero'!K6</f>
        <v>15069.577959419323</v>
      </c>
      <c r="I5" s="55">
        <f>+'Plan Financiero'!L6</f>
        <v>15128.211143672001</v>
      </c>
      <c r="J5" s="55">
        <f>+'Plan Financiero'!M6</f>
        <v>15188.603323452262</v>
      </c>
      <c r="K5" s="55">
        <f>+'Plan Financiero'!N6</f>
        <v>15250.807268625931</v>
      </c>
      <c r="L5" s="55">
        <f>+'Plan Financiero'!O6</f>
        <v>15314.877332154805</v>
      </c>
      <c r="M5" s="55">
        <f>+'Plan Financiero'!P6</f>
        <v>15380.869497589551</v>
      </c>
      <c r="N5" s="55">
        <f>+'Plan Financiero'!Q6</f>
        <v>15842.295582517239</v>
      </c>
    </row>
    <row r="6" spans="1:14">
      <c r="A6" s="24" t="s">
        <v>130</v>
      </c>
      <c r="B6" s="55">
        <f>+'Plan Financiero'!E75+'Plan Financiero'!E106</f>
        <v>5531.4760000000006</v>
      </c>
      <c r="C6" s="55">
        <f>+'Plan Financiero'!F75+'Plan Financiero'!F106</f>
        <v>3416.3330969999997</v>
      </c>
      <c r="D6" s="55">
        <f>+'Plan Financiero'!G75+'Plan Financiero'!G106</f>
        <v>1077.9044056299999</v>
      </c>
      <c r="E6" s="55">
        <f>+'Plan Financiero'!H75+'Plan Financiero'!H106</f>
        <v>571.74045809890004</v>
      </c>
      <c r="F6" s="55">
        <f>+'Plan Financiero'!I75+'Plan Financiero'!I106</f>
        <v>588.89267184186713</v>
      </c>
      <c r="G6" s="55">
        <f>+'Plan Financiero'!J75+'Plan Financiero'!J106</f>
        <v>606.55945199712312</v>
      </c>
      <c r="H6" s="55">
        <f>+'Plan Financiero'!K75+'Plan Financiero'!K106</f>
        <v>624.75623555703692</v>
      </c>
      <c r="I6" s="55">
        <f>+'Plan Financiero'!L75+'Plan Financiero'!L106</f>
        <v>643.49892262374794</v>
      </c>
      <c r="J6" s="55">
        <f>+'Plan Financiero'!M75+'Plan Financiero'!M106</f>
        <v>662.80389030246033</v>
      </c>
      <c r="K6" s="55">
        <f>+'Plan Financiero'!N75+'Plan Financiero'!N106</f>
        <v>682.6880070115343</v>
      </c>
      <c r="L6" s="55">
        <f>+'Plan Financiero'!O75+'Plan Financiero'!O106</f>
        <v>703.16864722188029</v>
      </c>
      <c r="M6" s="55">
        <f>+'Plan Financiero'!P75+'Plan Financiero'!P106</f>
        <v>724.26370663853663</v>
      </c>
      <c r="N6" s="55">
        <f>+'Plan Financiero'!Q75+'Plan Financiero'!Q106</f>
        <v>745.99161783769273</v>
      </c>
    </row>
    <row r="7" spans="1:14">
      <c r="A7" s="24" t="s">
        <v>122</v>
      </c>
      <c r="B7" s="55">
        <f>+'Plan Financiero'!E49</f>
        <v>1600.2380000000001</v>
      </c>
      <c r="C7" s="55">
        <f>+'Plan Financiero'!F49</f>
        <v>1631.2807604550001</v>
      </c>
      <c r="D7" s="55">
        <f>+'Plan Financiero'!G49</f>
        <v>1630.75584081595</v>
      </c>
      <c r="E7" s="55">
        <f>+'Plan Financiero'!H49</f>
        <v>1599.4505038976286</v>
      </c>
      <c r="F7" s="55">
        <f>+'Plan Financiero'!I49</f>
        <v>1635.3016765618572</v>
      </c>
      <c r="G7" s="55">
        <f>+'Plan Financiero'!J49</f>
        <v>1672.2283844060132</v>
      </c>
      <c r="H7" s="55">
        <f>+'Plan Financiero'!K49</f>
        <v>1710.2628934854936</v>
      </c>
      <c r="I7" s="55">
        <f>+'Plan Financiero'!L49</f>
        <v>1711.0084378373583</v>
      </c>
      <c r="J7" s="55">
        <f>+'Plan Financiero'!M49</f>
        <v>1751.3592485197792</v>
      </c>
      <c r="K7" s="55">
        <f>+'Plan Financiero'!N49</f>
        <v>1792.9205835226724</v>
      </c>
      <c r="L7" s="55">
        <f>+'Plan Financiero'!O49</f>
        <v>1801.1417585756528</v>
      </c>
      <c r="M7" s="55">
        <f>+'Plan Financiero'!P49</f>
        <v>1845.2341788802223</v>
      </c>
      <c r="N7" s="55">
        <f>+'Plan Financiero'!Q49</f>
        <v>1900.5912042466289</v>
      </c>
    </row>
    <row r="8" spans="1:14">
      <c r="A8" s="24" t="s">
        <v>131</v>
      </c>
      <c r="B8" s="55">
        <f>+'Plan Financiero'!E65+'Plan Financiero'!E87+SUM('Plan Financiero'!E63:E64)</f>
        <v>16590.771000000001</v>
      </c>
      <c r="C8" s="55">
        <f>+'Plan Financiero'!F65+'Plan Financiero'!F87+SUM('Plan Financiero'!F63:F64)</f>
        <v>16441.530244970003</v>
      </c>
      <c r="D8" s="55">
        <f>+'Plan Financiero'!G65+'Plan Financiero'!G87+SUM('Plan Financiero'!G63:G64)</f>
        <v>13630.563351635003</v>
      </c>
      <c r="E8" s="55">
        <f>+'Plan Financiero'!H65+'Plan Financiero'!H87+SUM('Plan Financiero'!H63:H64)</f>
        <v>12652.636398650853</v>
      </c>
      <c r="F8" s="55">
        <f>+'Plan Financiero'!I65+'Plan Financiero'!I87+SUM('Plan Financiero'!I63:I64)</f>
        <v>12765.081111433828</v>
      </c>
      <c r="G8" s="55">
        <f>+'Plan Financiero'!J65+'Plan Financiero'!J87+SUM('Plan Financiero'!J63:J64)</f>
        <v>13020.382733662507</v>
      </c>
      <c r="H8" s="55">
        <f>+'Plan Financiero'!K65+'Plan Financiero'!K87+SUM('Plan Financiero'!K63:K64)</f>
        <v>13040.695942249202</v>
      </c>
      <c r="I8" s="55">
        <f>+'Plan Financiero'!L65+'Plan Financiero'!L87+SUM('Plan Financiero'!L63:L64)</f>
        <v>13181.462638050907</v>
      </c>
      <c r="J8" s="55">
        <f>+'Plan Financiero'!M65+'Plan Financiero'!M87+SUM('Plan Financiero'!M63:M64)</f>
        <v>13202.596500264504</v>
      </c>
      <c r="K8" s="55">
        <f>+'Plan Financiero'!N65+'Plan Financiero'!N87+SUM('Plan Financiero'!N63:N64)</f>
        <v>13345.400734996085</v>
      </c>
      <c r="L8" s="55">
        <f>+'Plan Financiero'!O65+'Plan Financiero'!O87+SUM('Plan Financiero'!O63:O64)</f>
        <v>13489.84857746956</v>
      </c>
      <c r="M8" s="55">
        <f>+'Plan Financiero'!P65+'Plan Financiero'!P87+SUM('Plan Financiero'!P63:P64)</f>
        <v>13523.823656810402</v>
      </c>
      <c r="N8" s="55">
        <f>+'Plan Financiero'!Q65+'Plan Financiero'!Q87+SUM('Plan Financiero'!Q63:Q64)</f>
        <v>13929.538366514713</v>
      </c>
    </row>
    <row r="9" spans="1:14">
      <c r="A9" s="109" t="s">
        <v>1615</v>
      </c>
      <c r="B9" s="141">
        <f t="shared" ref="B9:C9" si="0">+B5+B6-B7-B8</f>
        <v>1517.372999999996</v>
      </c>
      <c r="C9" s="141">
        <f t="shared" si="0"/>
        <v>158.73158997499559</v>
      </c>
      <c r="D9" s="141">
        <f t="shared" ref="D9:M9" si="1">+D5+D6-D7-D8</f>
        <v>668.21785706104856</v>
      </c>
      <c r="E9" s="141">
        <f t="shared" si="1"/>
        <v>1223.3810242189775</v>
      </c>
      <c r="F9" s="141">
        <f t="shared" si="1"/>
        <v>1145.8950220448987</v>
      </c>
      <c r="G9" s="141">
        <f t="shared" si="1"/>
        <v>926.6008717433815</v>
      </c>
      <c r="H9" s="141">
        <f t="shared" si="1"/>
        <v>943.37535924166514</v>
      </c>
      <c r="I9" s="141">
        <f t="shared" si="1"/>
        <v>879.23899040748438</v>
      </c>
      <c r="J9" s="141">
        <f t="shared" si="1"/>
        <v>897.4514649704397</v>
      </c>
      <c r="K9" s="141">
        <f t="shared" si="1"/>
        <v>795.17395711870813</v>
      </c>
      <c r="L9" s="141">
        <f t="shared" si="1"/>
        <v>727.05564333147231</v>
      </c>
      <c r="M9" s="141">
        <f t="shared" si="1"/>
        <v>736.07536853746205</v>
      </c>
      <c r="N9" s="141">
        <f t="shared" ref="N9" si="2">+N5+N6-N7-N8</f>
        <v>758.15762959358835</v>
      </c>
    </row>
    <row r="10" spans="1:14" ht="28.5" customHeight="1">
      <c r="A10" s="22" t="s">
        <v>1645</v>
      </c>
      <c r="B10" s="152">
        <f>IF(B14&lt;&gt;0,B9/(B14),IF(AND(B14=0,B9&lt;0),0,0))</f>
        <v>25.274385368778663</v>
      </c>
      <c r="C10" s="152">
        <f t="shared" ref="C10:M10" si="3">IF(C14&lt;&gt;0,C9/(C14),IF(AND(C14=0,C9&lt;0),0,0))</f>
        <v>4.8100481810604725</v>
      </c>
      <c r="D10" s="152">
        <f t="shared" si="3"/>
        <v>6.1872023801948943</v>
      </c>
      <c r="E10" s="152">
        <f t="shared" si="3"/>
        <v>14.392717931987971</v>
      </c>
      <c r="F10" s="152">
        <f t="shared" si="3"/>
        <v>17.362045788559072</v>
      </c>
      <c r="G10" s="152">
        <f t="shared" si="3"/>
        <v>19.714912164752796</v>
      </c>
      <c r="H10" s="152">
        <f t="shared" si="3"/>
        <v>32.530184801436732</v>
      </c>
      <c r="I10" s="152">
        <f t="shared" si="3"/>
        <v>79.930817309771314</v>
      </c>
      <c r="J10" s="152">
        <f t="shared" si="3"/>
        <v>0</v>
      </c>
      <c r="K10" s="152">
        <f t="shared" si="3"/>
        <v>0</v>
      </c>
      <c r="L10" s="152">
        <f t="shared" si="3"/>
        <v>0</v>
      </c>
      <c r="M10" s="152">
        <f t="shared" si="3"/>
        <v>0</v>
      </c>
      <c r="N10" s="152">
        <f t="shared" ref="N10" si="4">IF(N14&lt;&gt;0,N9/(N14),IF(AND(N14=0,N9&lt;0),0,0))</f>
        <v>0</v>
      </c>
    </row>
    <row r="11" spans="1:14" s="60"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
      </c>
      <c r="K11" s="23" t="str">
        <f t="shared" si="5"/>
        <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60.036000000000001</v>
      </c>
      <c r="C14" s="58">
        <f>+'Plan Financiero'!F71</f>
        <v>33</v>
      </c>
      <c r="D14" s="58">
        <f>+'Plan Financiero'!G71</f>
        <v>108</v>
      </c>
      <c r="E14" s="58">
        <f>+'Plan Financiero'!H71</f>
        <v>85</v>
      </c>
      <c r="F14" s="58">
        <f>+'Plan Financiero'!I71</f>
        <v>66</v>
      </c>
      <c r="G14" s="58">
        <f>+'Plan Financiero'!J71</f>
        <v>47</v>
      </c>
      <c r="H14" s="58">
        <f>+'Plan Financiero'!K71</f>
        <v>29</v>
      </c>
      <c r="I14" s="58">
        <f>+'Plan Financiero'!L71</f>
        <v>11</v>
      </c>
      <c r="J14" s="58">
        <f>+'Plan Financiero'!M71</f>
        <v>0</v>
      </c>
      <c r="K14" s="58">
        <f>+'Plan Financiero'!N71</f>
        <v>0</v>
      </c>
      <c r="L14" s="58">
        <f>+'Plan Financiero'!O71</f>
        <v>0</v>
      </c>
      <c r="M14" s="58">
        <f>+'Plan Financiero'!P71</f>
        <v>0</v>
      </c>
      <c r="N14" s="58">
        <f>+'Plan Financiero'!Q71</f>
        <v>0</v>
      </c>
    </row>
    <row r="15" spans="1:14" hidden="1">
      <c r="A15" s="53" t="s">
        <v>1618</v>
      </c>
      <c r="B15" s="53"/>
      <c r="C15" s="110">
        <f>+C9-'Plan Financiero'!F111</f>
        <v>-1.5916157281026244E-12</v>
      </c>
      <c r="D15" s="110">
        <f>+D9-'Plan Financiero'!G111</f>
        <v>-9.0949470177292824E-13</v>
      </c>
      <c r="E15" s="110">
        <f>+E9-'Plan Financiero'!H111</f>
        <v>0</v>
      </c>
      <c r="F15" s="110">
        <f>+F9-'Plan Financiero'!I111</f>
        <v>0</v>
      </c>
      <c r="G15" s="110">
        <f>+G9-'Plan Financiero'!J111</f>
        <v>1.3642420526593924E-12</v>
      </c>
      <c r="H15" s="110">
        <f>+H9-'Plan Financiero'!K111</f>
        <v>0</v>
      </c>
      <c r="I15" s="110">
        <f>+I9-'Plan Financiero'!L111</f>
        <v>0</v>
      </c>
      <c r="J15" s="110">
        <f>+J9-'Plan Financiero'!M111</f>
        <v>0</v>
      </c>
      <c r="K15" s="110">
        <f>+K9-'Plan Financiero'!N111</f>
        <v>2.5011104298755527E-12</v>
      </c>
      <c r="L15" s="110">
        <f>+L9-'Plan Financiero'!O111</f>
        <v>0</v>
      </c>
      <c r="M15" s="110">
        <f>+M9-'Plan Financiero'!P111</f>
        <v>-1.0231815394945443E-12</v>
      </c>
    </row>
    <row r="20" spans="1:3">
      <c r="A20" s="4"/>
      <c r="B20" s="4"/>
      <c r="C20" s="4"/>
    </row>
    <row r="21" spans="1:3">
      <c r="A21" s="4"/>
      <c r="B21" s="4"/>
      <c r="C21" s="4"/>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9"/>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B56" sqref="B56"/>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48" t="s">
        <v>1621</v>
      </c>
      <c r="C1" s="248"/>
      <c r="D1" s="80" t="s">
        <v>1500</v>
      </c>
      <c r="E1" s="80"/>
      <c r="F1" s="80"/>
      <c r="G1" s="80"/>
      <c r="H1" s="80"/>
      <c r="I1" s="80"/>
      <c r="J1" s="80"/>
      <c r="K1" s="80"/>
      <c r="L1" s="80"/>
      <c r="M1" s="80"/>
      <c r="N1" s="80"/>
    </row>
    <row r="2" spans="1:14">
      <c r="B2" s="249" t="str">
        <f>Entidad!B10</f>
        <v>LA ARGENTINA</v>
      </c>
      <c r="C2" s="249"/>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7" t="s">
        <v>1389</v>
      </c>
      <c r="C3" s="247"/>
      <c r="D3" s="250" t="s">
        <v>1533</v>
      </c>
      <c r="E3" s="251"/>
      <c r="F3" s="251"/>
      <c r="G3" s="251"/>
      <c r="H3" s="251"/>
      <c r="I3" s="251"/>
      <c r="J3" s="251"/>
      <c r="K3" s="251"/>
      <c r="L3" s="251"/>
      <c r="M3" s="251"/>
      <c r="N3" s="251"/>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5968.903139</v>
      </c>
      <c r="D5" s="63">
        <f t="shared" ref="D5:M5" si="1">D6-D7</f>
        <v>6335.4642231700009</v>
      </c>
      <c r="E5" s="63">
        <f t="shared" si="1"/>
        <v>6525.5281498651011</v>
      </c>
      <c r="F5" s="63">
        <f t="shared" si="1"/>
        <v>6721.2939943610545</v>
      </c>
      <c r="G5" s="63">
        <f t="shared" si="1"/>
        <v>6922.9328141918859</v>
      </c>
      <c r="H5" s="63">
        <f t="shared" si="1"/>
        <v>7130.6207986176423</v>
      </c>
      <c r="I5" s="63">
        <f t="shared" si="1"/>
        <v>7344.539422576172</v>
      </c>
      <c r="J5" s="63">
        <f t="shared" si="1"/>
        <v>7564.8756052534573</v>
      </c>
      <c r="K5" s="63">
        <f t="shared" si="1"/>
        <v>7791.8218734110615</v>
      </c>
      <c r="L5" s="63">
        <f t="shared" si="1"/>
        <v>8025.5765296133932</v>
      </c>
      <c r="M5" s="63">
        <f t="shared" si="1"/>
        <v>8266.3438255017954</v>
      </c>
      <c r="N5" s="63">
        <f t="shared" ref="N5" si="2">N6-N7</f>
        <v>8514.3341402668502</v>
      </c>
    </row>
    <row r="6" spans="1:14">
      <c r="A6" s="61" t="s">
        <v>1504</v>
      </c>
      <c r="B6" s="62" t="s">
        <v>1524</v>
      </c>
      <c r="C6" s="63">
        <f>IFERROR(VLOOKUP(Entidad!$B$12&amp;"-"&amp;'Capacidad de Endeudamiento'!$A6,DAF_Ley358!$A$2:$G$212,7,FALSE),0)</f>
        <v>6150.9361390000004</v>
      </c>
      <c r="D6" s="63">
        <f>+C6*(1+D2)</f>
        <v>6335.4642231700009</v>
      </c>
      <c r="E6" s="63">
        <f t="shared" ref="E6:N6" si="3">+D6*(1+E2)</f>
        <v>6525.5281498651011</v>
      </c>
      <c r="F6" s="63">
        <f t="shared" si="3"/>
        <v>6721.2939943610545</v>
      </c>
      <c r="G6" s="63">
        <f t="shared" si="3"/>
        <v>6922.9328141918859</v>
      </c>
      <c r="H6" s="63">
        <f t="shared" si="3"/>
        <v>7130.6207986176423</v>
      </c>
      <c r="I6" s="63">
        <f t="shared" si="3"/>
        <v>7344.539422576172</v>
      </c>
      <c r="J6" s="63">
        <f t="shared" si="3"/>
        <v>7564.8756052534573</v>
      </c>
      <c r="K6" s="63">
        <f t="shared" si="3"/>
        <v>7791.8218734110615</v>
      </c>
      <c r="L6" s="63">
        <f t="shared" si="3"/>
        <v>8025.5765296133932</v>
      </c>
      <c r="M6" s="63">
        <f t="shared" si="3"/>
        <v>8266.3438255017954</v>
      </c>
      <c r="N6" s="63">
        <f t="shared" si="3"/>
        <v>8514.3341402668502</v>
      </c>
    </row>
    <row r="7" spans="1:14">
      <c r="A7" s="61" t="s">
        <v>1506</v>
      </c>
      <c r="B7" s="62" t="s">
        <v>1525</v>
      </c>
      <c r="C7" s="63">
        <f>IFERROR(VLOOKUP(Entidad!$B$12&amp;"-"&amp;'Capacidad de Endeudamiento'!$A7,DAF_Ley358!$A$2:$G$212,7,FALSE),0)</f>
        <v>182.03299999999999</v>
      </c>
      <c r="D7" s="88"/>
      <c r="E7" s="88"/>
      <c r="F7" s="88"/>
      <c r="G7" s="88"/>
      <c r="H7" s="88"/>
      <c r="I7" s="88"/>
      <c r="J7" s="88"/>
      <c r="K7" s="88"/>
      <c r="L7" s="88"/>
      <c r="M7" s="88"/>
      <c r="N7" s="88"/>
    </row>
    <row r="8" spans="1:14">
      <c r="A8" s="61" t="s">
        <v>1508</v>
      </c>
      <c r="B8" s="62" t="s">
        <v>1509</v>
      </c>
      <c r="C8" s="63">
        <f>IFERROR(VLOOKUP(Entidad!$B$12&amp;"-"&amp;'Capacidad de Endeudamiento'!$A8,DAF_Ley358!$A$2:$G$212,7,FALSE),0)</f>
        <v>2372.9033020000002</v>
      </c>
      <c r="D8" s="63">
        <f>+C8*(1+D2)</f>
        <v>2444.0904010600002</v>
      </c>
      <c r="E8" s="63">
        <f t="shared" ref="E8:N8" si="4">+D8*(1+E2)</f>
        <v>2517.4131130918004</v>
      </c>
      <c r="F8" s="63">
        <f t="shared" si="4"/>
        <v>2592.9355064845545</v>
      </c>
      <c r="G8" s="63">
        <f t="shared" si="4"/>
        <v>2670.723571679091</v>
      </c>
      <c r="H8" s="63">
        <f t="shared" si="4"/>
        <v>2750.845278829464</v>
      </c>
      <c r="I8" s="63">
        <f t="shared" si="4"/>
        <v>2833.3706371943481</v>
      </c>
      <c r="J8" s="63">
        <f t="shared" si="4"/>
        <v>2918.3717563101786</v>
      </c>
      <c r="K8" s="63">
        <f t="shared" si="4"/>
        <v>3005.9229089994842</v>
      </c>
      <c r="L8" s="63">
        <f t="shared" si="4"/>
        <v>3096.100596269469</v>
      </c>
      <c r="M8" s="63">
        <f t="shared" si="4"/>
        <v>3188.9836141575529</v>
      </c>
      <c r="N8" s="63">
        <f t="shared" si="4"/>
        <v>3284.6531225822796</v>
      </c>
    </row>
    <row r="9" spans="1:14">
      <c r="A9" s="61"/>
      <c r="B9" s="62" t="s">
        <v>1531</v>
      </c>
      <c r="C9" s="63">
        <f>C5-C8</f>
        <v>3595.9998369999998</v>
      </c>
      <c r="D9" s="63">
        <f t="shared" ref="D9:M9" si="5">D5-D8</f>
        <v>3891.3738221100007</v>
      </c>
      <c r="E9" s="63">
        <f t="shared" si="5"/>
        <v>4008.1150367733007</v>
      </c>
      <c r="F9" s="63">
        <f t="shared" si="5"/>
        <v>4128.3584878764996</v>
      </c>
      <c r="G9" s="63">
        <f t="shared" si="5"/>
        <v>4252.2092425127948</v>
      </c>
      <c r="H9" s="63">
        <f t="shared" si="5"/>
        <v>4379.7755197881779</v>
      </c>
      <c r="I9" s="63">
        <f t="shared" si="5"/>
        <v>4511.1687853818239</v>
      </c>
      <c r="J9" s="63">
        <f t="shared" si="5"/>
        <v>4646.5038489432791</v>
      </c>
      <c r="K9" s="63">
        <f t="shared" si="5"/>
        <v>4785.8989644115773</v>
      </c>
      <c r="L9" s="63">
        <f t="shared" si="5"/>
        <v>4929.4759333439242</v>
      </c>
      <c r="M9" s="63">
        <f t="shared" si="5"/>
        <v>5077.360211344243</v>
      </c>
      <c r="N9" s="63">
        <f t="shared" ref="N9" si="6">N5-N8</f>
        <v>5229.6810176845702</v>
      </c>
    </row>
    <row r="10" spans="1:14">
      <c r="A10" s="61"/>
      <c r="B10" s="77" t="s">
        <v>1526</v>
      </c>
      <c r="C10" s="78">
        <f t="shared" ref="C10:M10" si="7">C11-C16-C20+C21</f>
        <v>1756.5135620000001</v>
      </c>
      <c r="D10" s="81">
        <f t="shared" si="7"/>
        <v>1535.5135620000001</v>
      </c>
      <c r="E10" s="82">
        <f t="shared" si="7"/>
        <v>1118.5135620000001</v>
      </c>
      <c r="F10" s="83">
        <f t="shared" si="7"/>
        <v>827.51356200000009</v>
      </c>
      <c r="G10" s="84">
        <f t="shared" si="7"/>
        <v>551.51356200000009</v>
      </c>
      <c r="H10" s="81">
        <f t="shared" si="7"/>
        <v>275.51356200000009</v>
      </c>
      <c r="I10" s="85">
        <f t="shared" si="7"/>
        <v>-0.48643799999990733</v>
      </c>
      <c r="J10" s="86">
        <f t="shared" si="7"/>
        <v>-0.48643799999990733</v>
      </c>
      <c r="K10" s="79">
        <f t="shared" si="7"/>
        <v>-0.48643799999990733</v>
      </c>
      <c r="L10" s="87">
        <f t="shared" si="7"/>
        <v>-0.48643799999990733</v>
      </c>
      <c r="M10" s="63">
        <f t="shared" si="7"/>
        <v>-0.48643799999990733</v>
      </c>
      <c r="N10" s="63">
        <f t="shared" ref="N10" si="8">N11-N16-N20+N21</f>
        <v>-0.48643799999990733</v>
      </c>
    </row>
    <row r="11" spans="1:14">
      <c r="A11" s="61"/>
      <c r="B11" s="62" t="s">
        <v>1541</v>
      </c>
      <c r="C11" s="63">
        <f>C12-C13+C14+C15</f>
        <v>1997.5135620000001</v>
      </c>
      <c r="D11" s="63">
        <f t="shared" ref="D11:M11" si="9">D12-D13+D14+D15</f>
        <v>1756.5135620000001</v>
      </c>
      <c r="E11" s="63">
        <f t="shared" si="9"/>
        <v>1535.5135620000001</v>
      </c>
      <c r="F11" s="63">
        <f t="shared" si="9"/>
        <v>1118.5135620000001</v>
      </c>
      <c r="G11" s="63">
        <f t="shared" si="9"/>
        <v>827.51356200000009</v>
      </c>
      <c r="H11" s="63">
        <f t="shared" si="9"/>
        <v>551.51356200000009</v>
      </c>
      <c r="I11" s="63">
        <f t="shared" si="9"/>
        <v>275.51356200000009</v>
      </c>
      <c r="J11" s="63">
        <f t="shared" si="9"/>
        <v>-0.48643799999990733</v>
      </c>
      <c r="K11" s="63">
        <f t="shared" si="9"/>
        <v>-0.48643799999990733</v>
      </c>
      <c r="L11" s="63">
        <f t="shared" si="9"/>
        <v>-0.48643799999990733</v>
      </c>
      <c r="M11" s="63">
        <f t="shared" si="9"/>
        <v>-0.48643799999990733</v>
      </c>
      <c r="N11" s="63">
        <f t="shared" ref="N11" si="10">N12-N13+N14+N15</f>
        <v>-0.48643799999990733</v>
      </c>
    </row>
    <row r="12" spans="1:14">
      <c r="A12" s="61" t="s">
        <v>1510</v>
      </c>
      <c r="B12" s="64" t="s">
        <v>1544</v>
      </c>
      <c r="C12" s="88">
        <f>IFERROR(VLOOKUP(Entidad!$B$12&amp;"-"&amp;'Capacidad de Endeudamiento'!$A12,DAF_Ley358!$A$2:$G$212,7,FALSE),0)</f>
        <v>617.51356199999998</v>
      </c>
      <c r="D12" s="78">
        <f>+C10</f>
        <v>1756.5135620000001</v>
      </c>
      <c r="E12" s="81">
        <f t="shared" ref="E12:N12" si="11">+D10</f>
        <v>1535.5135620000001</v>
      </c>
      <c r="F12" s="82">
        <f t="shared" si="11"/>
        <v>1118.5135620000001</v>
      </c>
      <c r="G12" s="83">
        <f t="shared" si="11"/>
        <v>827.51356200000009</v>
      </c>
      <c r="H12" s="84">
        <f t="shared" si="11"/>
        <v>551.51356200000009</v>
      </c>
      <c r="I12" s="81">
        <f t="shared" si="11"/>
        <v>275.51356200000009</v>
      </c>
      <c r="J12" s="85">
        <f t="shared" si="11"/>
        <v>-0.48643799999990733</v>
      </c>
      <c r="K12" s="86">
        <f t="shared" si="11"/>
        <v>-0.48643799999990733</v>
      </c>
      <c r="L12" s="79">
        <f t="shared" si="11"/>
        <v>-0.48643799999990733</v>
      </c>
      <c r="M12" s="87">
        <f t="shared" si="11"/>
        <v>-0.48643799999990733</v>
      </c>
      <c r="N12" s="87">
        <f t="shared" si="11"/>
        <v>-0.48643799999990733</v>
      </c>
    </row>
    <row r="13" spans="1:14">
      <c r="A13" s="61" t="s">
        <v>1517</v>
      </c>
      <c r="B13" s="64" t="s">
        <v>1534</v>
      </c>
      <c r="C13" s="88">
        <f>IFERROR(VLOOKUP(Entidad!$B$12&amp;"-"&amp;'Capacidad de Endeudamiento'!$A13,DAF_Ley358!$A$2:$G$212,7,FALSE),0)</f>
        <v>0</v>
      </c>
      <c r="D13" s="88"/>
      <c r="E13" s="88"/>
      <c r="F13" s="88"/>
      <c r="G13" s="88"/>
      <c r="H13" s="88"/>
      <c r="I13" s="88"/>
      <c r="J13" s="88"/>
      <c r="K13" s="88"/>
      <c r="L13" s="88"/>
      <c r="M13" s="88"/>
      <c r="N13" s="88"/>
    </row>
    <row r="14" spans="1:14">
      <c r="A14" s="61"/>
      <c r="B14" s="64" t="s">
        <v>1536</v>
      </c>
      <c r="C14" s="88"/>
      <c r="D14" s="88"/>
      <c r="E14" s="88"/>
      <c r="F14" s="88"/>
      <c r="G14" s="88"/>
      <c r="H14" s="88"/>
      <c r="I14" s="88"/>
      <c r="J14" s="88"/>
      <c r="K14" s="88"/>
      <c r="L14" s="88"/>
      <c r="M14" s="88"/>
      <c r="N14" s="88"/>
    </row>
    <row r="15" spans="1:14">
      <c r="A15" s="61"/>
      <c r="B15" s="64" t="s">
        <v>1537</v>
      </c>
      <c r="C15" s="88">
        <v>1380</v>
      </c>
      <c r="D15" s="88"/>
      <c r="E15" s="88"/>
      <c r="F15" s="88"/>
      <c r="G15" s="88"/>
      <c r="H15" s="88"/>
      <c r="I15" s="88"/>
      <c r="J15" s="88"/>
      <c r="K15" s="88"/>
      <c r="L15" s="88"/>
      <c r="M15" s="88"/>
      <c r="N15" s="88"/>
    </row>
    <row r="16" spans="1:14">
      <c r="A16" s="61"/>
      <c r="B16" s="62" t="s">
        <v>1542</v>
      </c>
      <c r="C16" s="63">
        <f>C17-C18+C19</f>
        <v>241</v>
      </c>
      <c r="D16" s="63">
        <f t="shared" ref="D16:N16" si="12">D17-D18+D19</f>
        <v>221</v>
      </c>
      <c r="E16" s="63">
        <f t="shared" si="12"/>
        <v>417</v>
      </c>
      <c r="F16" s="63">
        <f t="shared" si="12"/>
        <v>291</v>
      </c>
      <c r="G16" s="63">
        <f t="shared" si="12"/>
        <v>276</v>
      </c>
      <c r="H16" s="63">
        <f t="shared" si="12"/>
        <v>276</v>
      </c>
      <c r="I16" s="63">
        <f t="shared" si="12"/>
        <v>276</v>
      </c>
      <c r="J16" s="63">
        <f t="shared" si="12"/>
        <v>0</v>
      </c>
      <c r="K16" s="63">
        <f t="shared" si="12"/>
        <v>0</v>
      </c>
      <c r="L16" s="63">
        <f t="shared" si="12"/>
        <v>0</v>
      </c>
      <c r="M16" s="63">
        <f t="shared" si="12"/>
        <v>0</v>
      </c>
      <c r="N16" s="63">
        <f t="shared" si="12"/>
        <v>0</v>
      </c>
    </row>
    <row r="17" spans="1:14">
      <c r="A17" s="61" t="s">
        <v>1512</v>
      </c>
      <c r="B17" s="64" t="s">
        <v>1535</v>
      </c>
      <c r="C17" s="88">
        <f>'Plan Financiero'!F102</f>
        <v>241</v>
      </c>
      <c r="D17" s="88">
        <f>'Plan Financiero'!G102</f>
        <v>221</v>
      </c>
      <c r="E17" s="88">
        <f>'Plan Financiero'!H102</f>
        <v>417</v>
      </c>
      <c r="F17" s="88">
        <f>'Plan Financiero'!I102</f>
        <v>291</v>
      </c>
      <c r="G17" s="88">
        <f>'Plan Financiero'!J102</f>
        <v>276</v>
      </c>
      <c r="H17" s="88">
        <f>'Plan Financiero'!K102</f>
        <v>276</v>
      </c>
      <c r="I17" s="88">
        <f>'Plan Financiero'!L102</f>
        <v>276</v>
      </c>
      <c r="J17" s="88"/>
      <c r="K17" s="88"/>
      <c r="L17" s="88"/>
      <c r="M17" s="88"/>
      <c r="N17" s="88"/>
    </row>
    <row r="18" spans="1:14">
      <c r="A18" s="61" t="s">
        <v>1519</v>
      </c>
      <c r="B18" s="64" t="s">
        <v>1527</v>
      </c>
      <c r="C18" s="88">
        <f>IFERROR(VLOOKUP(Entidad!$B$12&amp;"-"&amp;'Capacidad de Endeudamiento'!$A18,DAF_Ley358!$A$2:$G$212,7,FALSE),0)</f>
        <v>0</v>
      </c>
      <c r="D18" s="88"/>
      <c r="E18" s="88"/>
      <c r="F18" s="88"/>
      <c r="G18" s="88"/>
      <c r="H18" s="88"/>
      <c r="I18" s="88"/>
      <c r="J18" s="88"/>
      <c r="K18" s="88"/>
      <c r="L18" s="88"/>
      <c r="M18" s="88"/>
      <c r="N18" s="88"/>
    </row>
    <row r="19" spans="1:14">
      <c r="A19" s="61"/>
      <c r="B19" s="64" t="s">
        <v>1538</v>
      </c>
      <c r="C19" s="88"/>
      <c r="D19" s="88"/>
      <c r="E19" s="88"/>
      <c r="F19" s="88"/>
      <c r="G19" s="88"/>
      <c r="H19" s="88"/>
      <c r="I19" s="88"/>
      <c r="J19" s="88"/>
      <c r="K19" s="88"/>
      <c r="L19" s="88"/>
      <c r="M19" s="88"/>
      <c r="N19" s="88"/>
    </row>
    <row r="20" spans="1:14">
      <c r="A20" s="61" t="s">
        <v>1514</v>
      </c>
      <c r="B20" s="62" t="s">
        <v>1528</v>
      </c>
      <c r="C20" s="88">
        <f>IFERROR(VLOOKUP(Entidad!$B$12&amp;"-"&amp;'Capacidad de Endeudamiento'!$A20,DAF_Ley358!$A$2:$G$212,7,FALSE),0)</f>
        <v>0</v>
      </c>
      <c r="D20" s="88"/>
      <c r="E20" s="88"/>
      <c r="F20" s="88"/>
      <c r="G20" s="88"/>
      <c r="H20" s="88"/>
      <c r="I20" s="88"/>
      <c r="J20" s="88"/>
      <c r="K20" s="88"/>
      <c r="L20" s="88"/>
      <c r="M20" s="88"/>
      <c r="N20" s="88"/>
    </row>
    <row r="21" spans="1:14">
      <c r="A21" s="61" t="s">
        <v>1523</v>
      </c>
      <c r="B21" s="62" t="s">
        <v>1529</v>
      </c>
      <c r="C21" s="88">
        <f>IFERROR(VLOOKUP(Entidad!$B$12&amp;"-"&amp;'Capacidad de Endeudamiento'!$A21,DAF_Ley358!$A$2:$G$212,7,FALSE),0)</f>
        <v>0</v>
      </c>
      <c r="D21" s="88"/>
      <c r="E21" s="88"/>
      <c r="F21" s="88"/>
      <c r="G21" s="88"/>
      <c r="H21" s="88"/>
      <c r="I21" s="88"/>
      <c r="J21" s="88"/>
      <c r="K21" s="88"/>
      <c r="L21" s="88"/>
      <c r="M21" s="88"/>
      <c r="N21" s="88"/>
    </row>
    <row r="22" spans="1:14">
      <c r="A22" s="61"/>
      <c r="B22" s="62" t="s">
        <v>1543</v>
      </c>
      <c r="C22" s="63">
        <f>C23-C24+C25</f>
        <v>33</v>
      </c>
      <c r="D22" s="63">
        <f t="shared" ref="D22:N22" si="13">D23-D24+D25</f>
        <v>0</v>
      </c>
      <c r="E22" s="63">
        <f t="shared" si="13"/>
        <v>0</v>
      </c>
      <c r="F22" s="63">
        <f t="shared" si="13"/>
        <v>0</v>
      </c>
      <c r="G22" s="63">
        <f t="shared" si="13"/>
        <v>0</v>
      </c>
      <c r="H22" s="63">
        <f t="shared" si="13"/>
        <v>0</v>
      </c>
      <c r="I22" s="63">
        <f t="shared" si="13"/>
        <v>0</v>
      </c>
      <c r="J22" s="63">
        <f t="shared" si="13"/>
        <v>0</v>
      </c>
      <c r="K22" s="63">
        <f t="shared" si="13"/>
        <v>0</v>
      </c>
      <c r="L22" s="63">
        <f t="shared" si="13"/>
        <v>0</v>
      </c>
      <c r="M22" s="63">
        <f t="shared" si="13"/>
        <v>0</v>
      </c>
      <c r="N22" s="63">
        <f t="shared" si="13"/>
        <v>0</v>
      </c>
    </row>
    <row r="23" spans="1:14">
      <c r="A23" s="61" t="s">
        <v>1515</v>
      </c>
      <c r="B23" s="64" t="s">
        <v>1540</v>
      </c>
      <c r="C23" s="88">
        <v>33</v>
      </c>
      <c r="D23" s="88"/>
      <c r="E23" s="88"/>
      <c r="F23" s="88"/>
      <c r="G23" s="88"/>
      <c r="H23" s="88"/>
      <c r="I23" s="88"/>
      <c r="J23" s="88"/>
      <c r="K23" s="88"/>
      <c r="L23" s="88"/>
      <c r="M23" s="88"/>
      <c r="N23" s="88"/>
    </row>
    <row r="24" spans="1:14">
      <c r="A24" s="61" t="s">
        <v>1521</v>
      </c>
      <c r="B24" s="64" t="s">
        <v>1522</v>
      </c>
      <c r="C24" s="88">
        <f>IFERROR(VLOOKUP(Entidad!$B$12&amp;"-"&amp;'Capacidad de Endeudamiento'!$A24,DAF_Ley358!$A$2:$G$212,7,FALSE),0)</f>
        <v>0</v>
      </c>
      <c r="D24" s="88"/>
      <c r="E24" s="88"/>
      <c r="F24" s="88"/>
      <c r="G24" s="88"/>
      <c r="H24" s="88"/>
      <c r="I24" s="88"/>
      <c r="J24" s="88"/>
      <c r="K24" s="88"/>
      <c r="L24" s="88"/>
      <c r="M24" s="88"/>
      <c r="N24" s="88"/>
    </row>
    <row r="25" spans="1:14">
      <c r="A25" s="61"/>
      <c r="B25" s="64" t="s">
        <v>1539</v>
      </c>
      <c r="C25" s="88"/>
      <c r="D25" s="88"/>
      <c r="E25" s="88"/>
      <c r="F25" s="88"/>
      <c r="G25" s="88"/>
      <c r="H25" s="88"/>
      <c r="I25" s="88"/>
      <c r="J25" s="88"/>
      <c r="K25" s="88"/>
      <c r="L25" s="88"/>
      <c r="M25" s="88"/>
      <c r="N25" s="88"/>
    </row>
    <row r="26" spans="1:14">
      <c r="A26" s="61"/>
      <c r="B26" s="65" t="s">
        <v>1622</v>
      </c>
      <c r="C26" s="66">
        <f>(C22/C9)</f>
        <v>9.1768635972827497E-3</v>
      </c>
      <c r="D26" s="66">
        <f t="shared" ref="D26:M26" si="14">D22/D9</f>
        <v>0</v>
      </c>
      <c r="E26" s="66">
        <f t="shared" si="14"/>
        <v>0</v>
      </c>
      <c r="F26" s="66">
        <f t="shared" si="14"/>
        <v>0</v>
      </c>
      <c r="G26" s="66">
        <f t="shared" si="14"/>
        <v>0</v>
      </c>
      <c r="H26" s="66">
        <f t="shared" si="14"/>
        <v>0</v>
      </c>
      <c r="I26" s="66">
        <f t="shared" si="14"/>
        <v>0</v>
      </c>
      <c r="J26" s="66">
        <f t="shared" si="14"/>
        <v>0</v>
      </c>
      <c r="K26" s="66">
        <f t="shared" si="14"/>
        <v>0</v>
      </c>
      <c r="L26" s="66">
        <f t="shared" si="14"/>
        <v>0</v>
      </c>
      <c r="M26" s="66">
        <f t="shared" si="14"/>
        <v>0</v>
      </c>
      <c r="N26" s="66">
        <f t="shared" ref="N26" si="15">N22/N9</f>
        <v>0</v>
      </c>
    </row>
    <row r="27" spans="1:14">
      <c r="A27" s="61"/>
      <c r="B27" s="65" t="s">
        <v>1623</v>
      </c>
      <c r="C27" s="66">
        <f>C10/C5</f>
        <v>0.29427744446432375</v>
      </c>
      <c r="D27" s="66">
        <f t="shared" ref="D27:M27" si="16">D10/D5</f>
        <v>0.24236796356363818</v>
      </c>
      <c r="E27" s="66">
        <f t="shared" si="16"/>
        <v>0.1714058289708125</v>
      </c>
      <c r="F27" s="66">
        <f t="shared" si="16"/>
        <v>0.12311819163010231</v>
      </c>
      <c r="G27" s="66">
        <f t="shared" si="16"/>
        <v>7.966472834597027E-2</v>
      </c>
      <c r="H27" s="66">
        <f t="shared" si="16"/>
        <v>3.8638089134316572E-2</v>
      </c>
      <c r="I27" s="66">
        <f t="shared" si="16"/>
        <v>-6.6231246373960401E-5</v>
      </c>
      <c r="J27" s="66">
        <f t="shared" si="16"/>
        <v>-6.4302180945592625E-5</v>
      </c>
      <c r="K27" s="66">
        <f t="shared" si="16"/>
        <v>-6.2429301888924877E-5</v>
      </c>
      <c r="L27" s="66">
        <f t="shared" si="16"/>
        <v>-6.0610972707694052E-5</v>
      </c>
      <c r="M27" s="66">
        <f t="shared" si="16"/>
        <v>-5.884560457057675E-5</v>
      </c>
      <c r="N27" s="66">
        <f t="shared" ref="N27" si="17">N10/N5</f>
        <v>-5.7131654922890041E-5</v>
      </c>
    </row>
    <row r="28" spans="1:14">
      <c r="A28" s="61"/>
      <c r="B28" s="65" t="s">
        <v>1530</v>
      </c>
      <c r="C28" s="63" t="str">
        <f>IF(C9&lt;0,"AHORRO NEGATIVO",IF(C27&gt;0.8,"ROJO",IF(C26&gt;0.4,"ROJO","VERDE")))</f>
        <v>VERDE</v>
      </c>
      <c r="D28" s="63" t="str">
        <f t="shared" ref="D28:M28" si="18">IF(D9&lt;0,"AHORRO NEGATIVO",IF(D27&gt;0.8,"ROJO",IF(D26&gt;0.4,"ROJO","VERDE")))</f>
        <v>VERDE</v>
      </c>
      <c r="E28" s="63" t="str">
        <f t="shared" si="18"/>
        <v>VERDE</v>
      </c>
      <c r="F28" s="63" t="str">
        <f t="shared" si="18"/>
        <v>VERDE</v>
      </c>
      <c r="G28" s="63" t="str">
        <f t="shared" si="18"/>
        <v>VERDE</v>
      </c>
      <c r="H28" s="63" t="str">
        <f t="shared" si="18"/>
        <v>VERDE</v>
      </c>
      <c r="I28" s="63" t="str">
        <f t="shared" si="18"/>
        <v>VERDE</v>
      </c>
      <c r="J28" s="63" t="str">
        <f t="shared" si="18"/>
        <v>VERDE</v>
      </c>
      <c r="K28" s="63" t="str">
        <f t="shared" si="18"/>
        <v>VERDE</v>
      </c>
      <c r="L28" s="63" t="str">
        <f t="shared" si="18"/>
        <v>VERDE</v>
      </c>
      <c r="M28" s="63" t="str">
        <f t="shared" si="18"/>
        <v>VERDE</v>
      </c>
      <c r="N28" s="63" t="str">
        <f t="shared" ref="N28" si="19">IF(N9&lt;0,"AHORRO NEGATIVO",IF(N27&gt;0.8,"ROJO",IF(N26&gt;0.4,"ROJO","VERDE")))</f>
        <v>VERDE</v>
      </c>
    </row>
    <row r="29" spans="1:14">
      <c r="A29" s="61"/>
      <c r="B29" s="67" t="s">
        <v>1530</v>
      </c>
      <c r="C29" s="68">
        <f>IF(C28="VERDE",1,0)</f>
        <v>1</v>
      </c>
      <c r="D29" s="68">
        <f t="shared" ref="D29:M29" si="20">IF(D28="VERDE",1,0)</f>
        <v>1</v>
      </c>
      <c r="E29" s="68">
        <f t="shared" si="20"/>
        <v>1</v>
      </c>
      <c r="F29" s="68">
        <f t="shared" si="20"/>
        <v>1</v>
      </c>
      <c r="G29" s="68">
        <f t="shared" si="20"/>
        <v>1</v>
      </c>
      <c r="H29" s="68">
        <f t="shared" si="20"/>
        <v>1</v>
      </c>
      <c r="I29" s="68">
        <f t="shared" si="20"/>
        <v>1</v>
      </c>
      <c r="J29" s="68">
        <f t="shared" si="20"/>
        <v>1</v>
      </c>
      <c r="K29" s="68">
        <f t="shared" si="20"/>
        <v>1</v>
      </c>
      <c r="L29" s="68">
        <f t="shared" si="20"/>
        <v>1</v>
      </c>
      <c r="M29" s="68">
        <f t="shared" si="20"/>
        <v>1</v>
      </c>
      <c r="N29" s="68">
        <f t="shared" ref="N29" si="21">IF(N28="VERDE",1,0)</f>
        <v>1</v>
      </c>
    </row>
    <row r="31" spans="1:14">
      <c r="B31" s="112" t="s">
        <v>1629</v>
      </c>
      <c r="C31" s="113">
        <f t="shared" ref="C31:M31" si="22">+C38/C9</f>
        <v>1.5976919522869268E-2</v>
      </c>
      <c r="D31" s="113">
        <f t="shared" si="22"/>
        <v>0</v>
      </c>
      <c r="E31" s="113">
        <f t="shared" si="22"/>
        <v>0</v>
      </c>
      <c r="F31" s="113">
        <f t="shared" si="22"/>
        <v>0</v>
      </c>
      <c r="G31" s="113">
        <f t="shared" si="22"/>
        <v>0</v>
      </c>
      <c r="H31" s="113">
        <f t="shared" si="22"/>
        <v>0</v>
      </c>
      <c r="I31" s="113">
        <f t="shared" si="22"/>
        <v>0</v>
      </c>
      <c r="J31" s="113">
        <f t="shared" si="22"/>
        <v>0</v>
      </c>
      <c r="K31" s="113">
        <f t="shared" si="22"/>
        <v>0</v>
      </c>
      <c r="L31" s="113">
        <f t="shared" si="22"/>
        <v>0</v>
      </c>
      <c r="M31" s="113">
        <f t="shared" si="22"/>
        <v>0</v>
      </c>
      <c r="N31" s="113">
        <f t="shared" ref="N31" si="23">+N38/N9</f>
        <v>0</v>
      </c>
    </row>
    <row r="32" spans="1:14">
      <c r="B32" s="112" t="s">
        <v>1640</v>
      </c>
      <c r="C32" s="113">
        <f t="shared" ref="C32:M32" si="24">+C51/C5</f>
        <v>0.29427744446432375</v>
      </c>
      <c r="D32" s="113">
        <f t="shared" si="24"/>
        <v>0.24236796356363818</v>
      </c>
      <c r="E32" s="113">
        <f t="shared" si="24"/>
        <v>0.1714058289708125</v>
      </c>
      <c r="F32" s="113">
        <f t="shared" si="24"/>
        <v>0.12311819163010231</v>
      </c>
      <c r="G32" s="113">
        <f t="shared" si="24"/>
        <v>7.966472834597027E-2</v>
      </c>
      <c r="H32" s="113">
        <f t="shared" si="24"/>
        <v>3.8638089134316572E-2</v>
      </c>
      <c r="I32" s="113">
        <f t="shared" si="24"/>
        <v>0</v>
      </c>
      <c r="J32" s="113">
        <f t="shared" si="24"/>
        <v>0</v>
      </c>
      <c r="K32" s="113">
        <f t="shared" si="24"/>
        <v>0</v>
      </c>
      <c r="L32" s="113">
        <f t="shared" si="24"/>
        <v>0</v>
      </c>
      <c r="M32" s="113">
        <f t="shared" si="24"/>
        <v>0</v>
      </c>
      <c r="N32" s="113">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1" t="s">
        <v>1625</v>
      </c>
      <c r="C35" s="143">
        <f>+C22/IFERROR(VLOOKUP(Entidad!$B$12,DAF_SaldoDeuda!$B$2:$D$681,3,FALSE),0)</f>
        <v>5.3440083949513696E-2</v>
      </c>
      <c r="D35" s="135">
        <f>+D22/C10</f>
        <v>0</v>
      </c>
      <c r="E35" s="135">
        <f t="shared" ref="E35:N35" si="27">+E22/D10</f>
        <v>0</v>
      </c>
      <c r="F35" s="135">
        <f t="shared" si="27"/>
        <v>0</v>
      </c>
      <c r="G35" s="135">
        <f t="shared" si="27"/>
        <v>0</v>
      </c>
      <c r="H35" s="135">
        <f t="shared" si="27"/>
        <v>0</v>
      </c>
      <c r="I35" s="135">
        <f t="shared" si="27"/>
        <v>0</v>
      </c>
      <c r="J35" s="135">
        <f t="shared" si="27"/>
        <v>0</v>
      </c>
      <c r="K35" s="135">
        <f t="shared" si="27"/>
        <v>0</v>
      </c>
      <c r="L35" s="135">
        <f t="shared" si="27"/>
        <v>0</v>
      </c>
      <c r="M35" s="135">
        <f t="shared" si="27"/>
        <v>0</v>
      </c>
      <c r="N35" s="135">
        <f t="shared" si="27"/>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9.3039186156103348E-2</v>
      </c>
      <c r="D37" s="134">
        <f t="shared" ref="D37:M37" si="28">D35*(1+D36)</f>
        <v>0</v>
      </c>
      <c r="E37" s="134">
        <f t="shared" si="28"/>
        <v>0</v>
      </c>
      <c r="F37" s="134">
        <f t="shared" si="28"/>
        <v>0</v>
      </c>
      <c r="G37" s="134">
        <f t="shared" si="28"/>
        <v>0</v>
      </c>
      <c r="H37" s="134">
        <f t="shared" si="28"/>
        <v>0</v>
      </c>
      <c r="I37" s="134">
        <f t="shared" si="28"/>
        <v>0</v>
      </c>
      <c r="J37" s="134">
        <f t="shared" si="28"/>
        <v>0</v>
      </c>
      <c r="K37" s="134">
        <f t="shared" si="28"/>
        <v>0</v>
      </c>
      <c r="L37" s="134">
        <f t="shared" si="28"/>
        <v>0</v>
      </c>
      <c r="M37" s="134">
        <f t="shared" si="28"/>
        <v>0</v>
      </c>
      <c r="N37" s="134">
        <f t="shared" ref="N37" si="29">N35*(1+N36)</f>
        <v>0</v>
      </c>
    </row>
    <row r="38" spans="2:14">
      <c r="B38" s="111" t="s">
        <v>1628</v>
      </c>
      <c r="C38" s="144">
        <f>IFERROR(VLOOKUP(Entidad!$B$12,DAF_SaldoDeuda!$B$2:$D$681,3,FALSE),0)*'Capacidad de Endeudamiento'!C37</f>
        <v>57.453000000000003</v>
      </c>
      <c r="D38" s="137">
        <f>+C10*D37</f>
        <v>0</v>
      </c>
      <c r="E38" s="137">
        <f t="shared" ref="E38:N38" si="30">+D10*E37</f>
        <v>0</v>
      </c>
      <c r="F38" s="137">
        <f t="shared" si="30"/>
        <v>0</v>
      </c>
      <c r="G38" s="137">
        <f t="shared" si="30"/>
        <v>0</v>
      </c>
      <c r="H38" s="137">
        <f t="shared" si="30"/>
        <v>0</v>
      </c>
      <c r="I38" s="137">
        <f t="shared" si="30"/>
        <v>0</v>
      </c>
      <c r="J38" s="137">
        <f t="shared" si="30"/>
        <v>0</v>
      </c>
      <c r="K38" s="137">
        <f t="shared" si="30"/>
        <v>0</v>
      </c>
      <c r="L38" s="137">
        <f t="shared" si="30"/>
        <v>0</v>
      </c>
      <c r="M38" s="137">
        <f t="shared" si="30"/>
        <v>0</v>
      </c>
      <c r="N38" s="137">
        <f t="shared" si="30"/>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f>C10</f>
        <v>1756.5135620000001</v>
      </c>
      <c r="D44" s="139">
        <f t="shared" ref="D44:H44" si="31">D10</f>
        <v>1535.5135620000001</v>
      </c>
      <c r="E44" s="139">
        <f t="shared" si="31"/>
        <v>1118.5135620000001</v>
      </c>
      <c r="F44" s="139">
        <f t="shared" si="31"/>
        <v>827.51356200000009</v>
      </c>
      <c r="G44" s="139">
        <f t="shared" si="31"/>
        <v>551.51356200000009</v>
      </c>
      <c r="H44" s="139">
        <f t="shared" si="31"/>
        <v>275.51356200000009</v>
      </c>
      <c r="I44" s="139"/>
      <c r="J44" s="139"/>
      <c r="K44" s="139"/>
      <c r="L44" s="139"/>
      <c r="M44" s="139"/>
      <c r="N44" s="139"/>
    </row>
    <row r="45" spans="2:14">
      <c r="B45" s="111" t="s">
        <v>1633</v>
      </c>
      <c r="C45" s="137">
        <f>+C43+C44</f>
        <v>1756.5135620000001</v>
      </c>
      <c r="D45" s="137">
        <f t="shared" ref="D45:M45" si="32">+D43+D44</f>
        <v>1535.5135620000001</v>
      </c>
      <c r="E45" s="137">
        <f t="shared" si="32"/>
        <v>1118.5135620000001</v>
      </c>
      <c r="F45" s="137">
        <f t="shared" si="32"/>
        <v>827.51356200000009</v>
      </c>
      <c r="G45" s="137">
        <f t="shared" si="32"/>
        <v>551.51356200000009</v>
      </c>
      <c r="H45" s="137">
        <f t="shared" si="32"/>
        <v>275.51356200000009</v>
      </c>
      <c r="I45" s="137">
        <f t="shared" si="32"/>
        <v>0</v>
      </c>
      <c r="J45" s="137">
        <f t="shared" si="32"/>
        <v>0</v>
      </c>
      <c r="K45" s="137">
        <f t="shared" si="32"/>
        <v>0</v>
      </c>
      <c r="L45" s="137">
        <f t="shared" si="32"/>
        <v>0</v>
      </c>
      <c r="M45" s="137">
        <f t="shared" si="32"/>
        <v>0</v>
      </c>
      <c r="N45" s="137">
        <f t="shared" ref="N45" si="33">+N43+N44</f>
        <v>0</v>
      </c>
    </row>
    <row r="46" spans="2:14">
      <c r="B46" s="111" t="s">
        <v>1634</v>
      </c>
      <c r="C46" s="137">
        <f t="shared" ref="C46:M46" si="34">+C11-C45</f>
        <v>241</v>
      </c>
      <c r="D46" s="137">
        <f t="shared" si="34"/>
        <v>221</v>
      </c>
      <c r="E46" s="137">
        <f t="shared" si="34"/>
        <v>417</v>
      </c>
      <c r="F46" s="137">
        <f t="shared" si="34"/>
        <v>291</v>
      </c>
      <c r="G46" s="137">
        <f t="shared" si="34"/>
        <v>276</v>
      </c>
      <c r="H46" s="137">
        <f t="shared" si="34"/>
        <v>276</v>
      </c>
      <c r="I46" s="137">
        <f t="shared" si="34"/>
        <v>275.51356200000009</v>
      </c>
      <c r="J46" s="137">
        <f t="shared" si="34"/>
        <v>-0.48643799999990733</v>
      </c>
      <c r="K46" s="137">
        <f t="shared" si="34"/>
        <v>-0.48643799999990733</v>
      </c>
      <c r="L46" s="137">
        <f t="shared" si="34"/>
        <v>-0.48643799999990733</v>
      </c>
      <c r="M46" s="137">
        <f t="shared" si="34"/>
        <v>-0.48643799999990733</v>
      </c>
      <c r="N46" s="137">
        <f t="shared" ref="N46" si="35">+N11-N45</f>
        <v>-0.48643799999990733</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6">D41*(1+D48)</f>
        <v>3205.611394441185</v>
      </c>
      <c r="E49" s="140">
        <f t="shared" si="36"/>
        <v>3288.1439330287067</v>
      </c>
      <c r="F49" s="140">
        <f t="shared" si="36"/>
        <v>3272.6130011347846</v>
      </c>
      <c r="G49" s="140">
        <f t="shared" si="36"/>
        <v>3231.68838380634</v>
      </c>
      <c r="H49" s="140">
        <f t="shared" si="36"/>
        <v>3237.0368415817161</v>
      </c>
      <c r="I49" s="140">
        <f t="shared" si="36"/>
        <v>3247.6282275220206</v>
      </c>
      <c r="J49" s="140">
        <f t="shared" si="36"/>
        <v>3257.8498245497644</v>
      </c>
      <c r="K49" s="140">
        <f t="shared" si="36"/>
        <v>3274.1995638420494</v>
      </c>
      <c r="L49" s="140">
        <f t="shared" si="36"/>
        <v>3292.1367031371792</v>
      </c>
      <c r="M49" s="140">
        <f t="shared" si="36"/>
        <v>3310.7646154095751</v>
      </c>
      <c r="N49" s="140">
        <f t="shared" ref="N49" si="37">N41*(1+N48)</f>
        <v>3330.0330688808958</v>
      </c>
    </row>
    <row r="50" spans="2:14">
      <c r="B50" s="111" t="s">
        <v>1637</v>
      </c>
      <c r="C50" s="140">
        <f>(+C43/C41)*C49</f>
        <v>0</v>
      </c>
      <c r="D50" s="140">
        <f t="shared" ref="D50:M50" si="38">(+D43/D41)*D49</f>
        <v>0</v>
      </c>
      <c r="E50" s="140">
        <f t="shared" si="38"/>
        <v>0</v>
      </c>
      <c r="F50" s="140">
        <f t="shared" si="38"/>
        <v>0</v>
      </c>
      <c r="G50" s="140">
        <f t="shared" si="38"/>
        <v>0</v>
      </c>
      <c r="H50" s="140">
        <f t="shared" si="38"/>
        <v>0</v>
      </c>
      <c r="I50" s="140">
        <f t="shared" si="38"/>
        <v>0</v>
      </c>
      <c r="J50" s="140">
        <f t="shared" si="38"/>
        <v>0</v>
      </c>
      <c r="K50" s="140">
        <f t="shared" si="38"/>
        <v>0</v>
      </c>
      <c r="L50" s="140">
        <f t="shared" si="38"/>
        <v>0</v>
      </c>
      <c r="M50" s="140">
        <f t="shared" si="38"/>
        <v>0</v>
      </c>
      <c r="N50" s="140">
        <f t="shared" ref="N50" si="39">(+N43/N41)*N49</f>
        <v>0</v>
      </c>
    </row>
    <row r="51" spans="2:14">
      <c r="B51" s="111" t="s">
        <v>1638</v>
      </c>
      <c r="C51" s="140">
        <f>+C44+C50</f>
        <v>1756.5135620000001</v>
      </c>
      <c r="D51" s="140">
        <f t="shared" ref="D51:M51" si="40">+D44+D50</f>
        <v>1535.5135620000001</v>
      </c>
      <c r="E51" s="140">
        <f t="shared" si="40"/>
        <v>1118.5135620000001</v>
      </c>
      <c r="F51" s="140">
        <f t="shared" si="40"/>
        <v>827.51356200000009</v>
      </c>
      <c r="G51" s="140">
        <f t="shared" si="40"/>
        <v>551.51356200000009</v>
      </c>
      <c r="H51" s="140">
        <f t="shared" si="40"/>
        <v>275.51356200000009</v>
      </c>
      <c r="I51" s="140">
        <f t="shared" si="40"/>
        <v>0</v>
      </c>
      <c r="J51" s="140">
        <f t="shared" si="40"/>
        <v>0</v>
      </c>
      <c r="K51" s="140">
        <f t="shared" si="40"/>
        <v>0</v>
      </c>
      <c r="L51" s="140">
        <f t="shared" si="40"/>
        <v>0</v>
      </c>
      <c r="M51" s="140">
        <f t="shared" si="40"/>
        <v>0</v>
      </c>
      <c r="N51" s="140">
        <f t="shared" ref="N51" si="41">+N44+N50</f>
        <v>0</v>
      </c>
    </row>
    <row r="52" spans="2:14">
      <c r="B52" s="111" t="s">
        <v>1639</v>
      </c>
      <c r="C52" s="140">
        <f>+C51-C45</f>
        <v>0</v>
      </c>
      <c r="D52" s="140">
        <f t="shared" ref="D52:M52" si="42">+D51-D45</f>
        <v>0</v>
      </c>
      <c r="E52" s="140">
        <f t="shared" si="42"/>
        <v>0</v>
      </c>
      <c r="F52" s="140">
        <f t="shared" si="42"/>
        <v>0</v>
      </c>
      <c r="G52" s="140">
        <f t="shared" si="42"/>
        <v>0</v>
      </c>
      <c r="H52" s="140">
        <f t="shared" si="42"/>
        <v>0</v>
      </c>
      <c r="I52" s="140">
        <f t="shared" si="42"/>
        <v>0</v>
      </c>
      <c r="J52" s="140">
        <f t="shared" si="42"/>
        <v>0</v>
      </c>
      <c r="K52" s="140">
        <f t="shared" si="42"/>
        <v>0</v>
      </c>
      <c r="L52" s="140">
        <f t="shared" si="42"/>
        <v>0</v>
      </c>
      <c r="M52" s="140">
        <f t="shared" si="42"/>
        <v>0</v>
      </c>
      <c r="N52" s="140">
        <f t="shared" ref="N52" si="43">+N51-N45</f>
        <v>0</v>
      </c>
    </row>
    <row r="58" spans="2:14">
      <c r="B58" s="4"/>
      <c r="C58" s="4"/>
      <c r="D58" s="4"/>
    </row>
    <row r="59" spans="2:14">
      <c r="B59" s="4"/>
      <c r="C59" s="4"/>
      <c r="D59" s="4"/>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8:C21 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710937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28515625" style="147" hidden="1"/>
    <col min="256" max="498" width="12" style="147" hidden="1"/>
    <col min="499" max="499" width="18.710937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28515625" style="147" hidden="1"/>
    <col min="512" max="754" width="12" style="147" hidden="1"/>
    <col min="755" max="755" width="18.710937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28515625" style="147" hidden="1"/>
    <col min="768" max="1010" width="12" style="147" hidden="1"/>
    <col min="1011" max="1011" width="18.710937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28515625" style="147" hidden="1"/>
    <col min="1024" max="1266" width="12" style="147" hidden="1"/>
    <col min="1267" max="1267" width="18.710937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28515625" style="147" hidden="1"/>
    <col min="1280" max="1522" width="12" style="147" hidden="1"/>
    <col min="1523" max="1523" width="18.710937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28515625" style="147" hidden="1"/>
    <col min="1536" max="1778" width="12" style="147" hidden="1"/>
    <col min="1779" max="1779" width="18.710937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28515625" style="147" hidden="1"/>
    <col min="1792" max="2034" width="12" style="147" hidden="1"/>
    <col min="2035" max="2035" width="18.710937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28515625" style="147" hidden="1"/>
    <col min="2048" max="2290" width="12" style="147" hidden="1"/>
    <col min="2291" max="2291" width="18.710937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28515625" style="147" hidden="1"/>
    <col min="2304" max="2546" width="12" style="147" hidden="1"/>
    <col min="2547" max="2547" width="18.710937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28515625" style="147" hidden="1"/>
    <col min="2560" max="2802" width="12" style="147" hidden="1"/>
    <col min="2803" max="2803" width="18.710937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28515625" style="147" hidden="1"/>
    <col min="2816" max="3058" width="12" style="147" hidden="1"/>
    <col min="3059" max="3059" width="18.710937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28515625" style="147" hidden="1"/>
    <col min="3072" max="3314" width="12" style="147" hidden="1"/>
    <col min="3315" max="3315" width="18.710937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28515625" style="147" hidden="1"/>
    <col min="3328" max="3570" width="12" style="147" hidden="1"/>
    <col min="3571" max="3571" width="18.710937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28515625" style="147" hidden="1"/>
    <col min="3584" max="3826" width="12" style="147" hidden="1"/>
    <col min="3827" max="3827" width="18.710937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28515625" style="147" hidden="1"/>
    <col min="3840" max="4082" width="12" style="147" hidden="1"/>
    <col min="4083" max="4083" width="18.710937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28515625" style="147" hidden="1"/>
    <col min="4096" max="4338" width="12" style="147" hidden="1"/>
    <col min="4339" max="4339" width="18.710937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28515625" style="147" hidden="1"/>
    <col min="4352" max="4594" width="12" style="147" hidden="1"/>
    <col min="4595" max="4595" width="18.710937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28515625" style="147" hidden="1"/>
    <col min="4608" max="4850" width="12" style="147" hidden="1"/>
    <col min="4851" max="4851" width="18.710937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28515625" style="147" hidden="1"/>
    <col min="4864" max="5106" width="12" style="147" hidden="1"/>
    <col min="5107" max="5107" width="18.710937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28515625" style="147" hidden="1"/>
    <col min="5120" max="5362" width="12" style="147" hidden="1"/>
    <col min="5363" max="5363" width="18.710937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28515625" style="147" hidden="1"/>
    <col min="5376" max="5618" width="12" style="147" hidden="1"/>
    <col min="5619" max="5619" width="18.710937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28515625" style="147" hidden="1"/>
    <col min="5632" max="5874" width="12" style="147" hidden="1"/>
    <col min="5875" max="5875" width="18.710937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28515625" style="147" hidden="1"/>
    <col min="5888" max="6130" width="12" style="147" hidden="1"/>
    <col min="6131" max="6131" width="18.710937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28515625" style="147" hidden="1"/>
    <col min="6144" max="6386" width="12" style="147" hidden="1"/>
    <col min="6387" max="6387" width="18.710937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28515625" style="147" hidden="1"/>
    <col min="6400" max="6642" width="12" style="147" hidden="1"/>
    <col min="6643" max="6643" width="18.710937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28515625" style="147" hidden="1"/>
    <col min="6656" max="6898" width="12" style="147" hidden="1"/>
    <col min="6899" max="6899" width="18.710937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28515625" style="147" hidden="1"/>
    <col min="6912" max="7154" width="12" style="147" hidden="1"/>
    <col min="7155" max="7155" width="18.710937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28515625" style="147" hidden="1"/>
    <col min="7168" max="7410" width="12" style="147" hidden="1"/>
    <col min="7411" max="7411" width="18.710937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28515625" style="147" hidden="1"/>
    <col min="7424" max="7666" width="12" style="147" hidden="1"/>
    <col min="7667" max="7667" width="18.710937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28515625" style="147" hidden="1"/>
    <col min="7680" max="7922" width="12" style="147" hidden="1"/>
    <col min="7923" max="7923" width="18.710937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28515625" style="147" hidden="1"/>
    <col min="7936" max="8178" width="12" style="147" hidden="1"/>
    <col min="8179" max="8179" width="18.710937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28515625" style="147" hidden="1"/>
    <col min="8192" max="8434" width="12" style="147" hidden="1"/>
    <col min="8435" max="8435" width="18.710937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28515625" style="147" hidden="1"/>
    <col min="8448" max="8690" width="12" style="147" hidden="1"/>
    <col min="8691" max="8691" width="18.710937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28515625" style="147" hidden="1"/>
    <col min="8704" max="8946" width="12" style="147" hidden="1"/>
    <col min="8947" max="8947" width="18.710937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28515625" style="147" hidden="1"/>
    <col min="8960" max="9202" width="12" style="147" hidden="1"/>
    <col min="9203" max="9203" width="18.710937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28515625" style="147" hidden="1"/>
    <col min="9216" max="9458" width="12" style="147" hidden="1"/>
    <col min="9459" max="9459" width="18.710937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28515625" style="147" hidden="1"/>
    <col min="9472" max="9714" width="12" style="147" hidden="1"/>
    <col min="9715" max="9715" width="18.710937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28515625" style="147" hidden="1"/>
    <col min="9728" max="9970" width="12" style="147" hidden="1"/>
    <col min="9971" max="9971" width="18.710937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28515625" style="147" hidden="1"/>
    <col min="9984" max="10226" width="12" style="147" hidden="1"/>
    <col min="10227" max="10227" width="18.710937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28515625" style="147" hidden="1"/>
    <col min="10240" max="10482" width="12" style="147" hidden="1"/>
    <col min="10483" max="10483" width="18.710937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28515625" style="147" hidden="1"/>
    <col min="10496" max="10738" width="12" style="147" hidden="1"/>
    <col min="10739" max="10739" width="18.710937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28515625" style="147" hidden="1"/>
    <col min="10752" max="10994" width="12" style="147" hidden="1"/>
    <col min="10995" max="10995" width="18.710937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28515625" style="147" hidden="1"/>
    <col min="11008" max="11250" width="12" style="147" hidden="1"/>
    <col min="11251" max="11251" width="18.710937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28515625" style="147" hidden="1"/>
    <col min="11264" max="11506" width="12" style="147" hidden="1"/>
    <col min="11507" max="11507" width="18.710937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28515625" style="147" hidden="1"/>
    <col min="11520" max="11762" width="12" style="147" hidden="1"/>
    <col min="11763" max="11763" width="18.710937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28515625" style="147" hidden="1"/>
    <col min="11776" max="12018" width="12" style="147" hidden="1"/>
    <col min="12019" max="12019" width="18.710937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28515625" style="147" hidden="1"/>
    <col min="12032" max="12274" width="12" style="147" hidden="1"/>
    <col min="12275" max="12275" width="18.710937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28515625" style="147" hidden="1"/>
    <col min="12288" max="12530" width="12" style="147" hidden="1"/>
    <col min="12531" max="12531" width="18.710937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28515625" style="147" hidden="1"/>
    <col min="12544" max="12786" width="12" style="147" hidden="1"/>
    <col min="12787" max="12787" width="18.710937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28515625" style="147" hidden="1"/>
    <col min="12800" max="13042" width="12" style="147" hidden="1"/>
    <col min="13043" max="13043" width="18.710937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28515625" style="147" hidden="1"/>
    <col min="13056" max="13298" width="12" style="147" hidden="1"/>
    <col min="13299" max="13299" width="18.710937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28515625" style="147" hidden="1"/>
    <col min="13312" max="13554" width="12" style="147" hidden="1"/>
    <col min="13555" max="13555" width="18.710937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28515625" style="147" hidden="1"/>
    <col min="13568" max="13810" width="12" style="147" hidden="1"/>
    <col min="13811" max="13811" width="18.710937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28515625" style="147" hidden="1"/>
    <col min="13824" max="14066" width="12" style="147" hidden="1"/>
    <col min="14067" max="14067" width="18.710937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28515625" style="147" hidden="1"/>
    <col min="14080" max="14322" width="12" style="147" hidden="1"/>
    <col min="14323" max="14323" width="18.710937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28515625" style="147" hidden="1"/>
    <col min="14336" max="14578" width="12" style="147" hidden="1"/>
    <col min="14579" max="14579" width="18.710937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28515625" style="147" hidden="1"/>
    <col min="14592" max="14834" width="12" style="147" hidden="1"/>
    <col min="14835" max="14835" width="18.710937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28515625" style="147" hidden="1"/>
    <col min="14848" max="15090" width="12" style="147" hidden="1"/>
    <col min="15091" max="15091" width="18.710937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28515625" style="147" hidden="1"/>
    <col min="15104" max="15346" width="12" style="147" hidden="1"/>
    <col min="15347" max="15347" width="18.710937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28515625" style="147" hidden="1"/>
    <col min="15360" max="15602" width="12" style="147" hidden="1"/>
    <col min="15603" max="15603" width="18.710937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28515625" style="147" hidden="1"/>
    <col min="15616" max="15858" width="12" style="147" hidden="1"/>
    <col min="15859" max="15859" width="18.710937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28515625" style="147" hidden="1"/>
    <col min="15872" max="16114" width="12" style="147" hidden="1"/>
    <col min="16115" max="16115" width="18.710937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28515625" style="147" hidden="1"/>
    <col min="16128" max="16384" width="12" style="147" hidden="1"/>
  </cols>
  <sheetData>
    <row r="1" spans="1:16127">
      <c r="A1" s="90"/>
      <c r="B1" s="91"/>
      <c r="C1" s="91"/>
    </row>
    <row r="2" spans="1:16127">
      <c r="A2" s="92"/>
      <c r="B2" s="89"/>
      <c r="C2" s="89"/>
    </row>
    <row r="3" spans="1:16127" ht="15" customHeight="1">
      <c r="A3" s="230"/>
      <c r="B3" s="231"/>
      <c r="C3" s="89"/>
    </row>
    <row r="4" spans="1:16127" ht="15" customHeight="1">
      <c r="A4" s="93"/>
      <c r="B4" s="94"/>
      <c r="C4" s="94"/>
    </row>
    <row r="5" spans="1:16127" s="148" customFormat="1">
      <c r="A5" s="232" t="s">
        <v>1644</v>
      </c>
      <c r="B5" s="233"/>
      <c r="C5" s="233"/>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4"/>
      <c r="B6" s="235"/>
      <c r="C6" s="235"/>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955</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41378</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6</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6" t="s">
        <v>1663</v>
      </c>
      <c r="B20" s="237"/>
      <c r="C20" s="237"/>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710937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39" t="s">
        <v>1614</v>
      </c>
      <c r="B3" s="240"/>
      <c r="C3" s="240"/>
      <c r="D3" s="240"/>
      <c r="E3" s="240"/>
      <c r="F3" s="240"/>
      <c r="G3" s="240"/>
      <c r="H3" s="240"/>
      <c r="I3" s="240"/>
      <c r="J3" s="240"/>
      <c r="K3" s="241"/>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2" t="s">
        <v>1646</v>
      </c>
      <c r="C6" s="242"/>
      <c r="D6" s="242"/>
      <c r="E6" s="242"/>
      <c r="F6" s="242"/>
      <c r="G6" s="242"/>
      <c r="H6" s="242"/>
      <c r="I6" s="242"/>
      <c r="J6" s="242"/>
      <c r="K6" s="243"/>
    </row>
    <row r="7" spans="1:11" ht="43.5" hidden="1" customHeight="1">
      <c r="A7" s="121"/>
      <c r="B7" s="242" t="s">
        <v>1647</v>
      </c>
      <c r="C7" s="242"/>
      <c r="D7" s="242"/>
      <c r="E7" s="242"/>
      <c r="F7" s="242"/>
      <c r="G7" s="242"/>
      <c r="H7" s="242"/>
      <c r="I7" s="242"/>
      <c r="J7" s="242"/>
      <c r="K7" s="243"/>
    </row>
    <row r="8" spans="1:11" ht="39.75" hidden="1" customHeight="1">
      <c r="A8" s="122"/>
      <c r="B8" s="242" t="s">
        <v>1648</v>
      </c>
      <c r="C8" s="242"/>
      <c r="D8" s="242"/>
      <c r="E8" s="242"/>
      <c r="F8" s="242"/>
      <c r="G8" s="242"/>
      <c r="H8" s="242"/>
      <c r="I8" s="242"/>
      <c r="J8" s="242"/>
      <c r="K8" s="243"/>
    </row>
    <row r="9" spans="1:11" ht="62.25" hidden="1" customHeight="1">
      <c r="A9" s="122"/>
      <c r="B9" s="242" t="s">
        <v>1649</v>
      </c>
      <c r="C9" s="242"/>
      <c r="D9" s="242"/>
      <c r="E9" s="242"/>
      <c r="F9" s="242"/>
      <c r="G9" s="242"/>
      <c r="H9" s="242"/>
      <c r="I9" s="242"/>
      <c r="J9" s="242"/>
      <c r="K9" s="243"/>
    </row>
    <row r="10" spans="1:11" ht="59.25" hidden="1" customHeight="1">
      <c r="A10" s="122"/>
      <c r="B10" s="242" t="s">
        <v>1650</v>
      </c>
      <c r="C10" s="242"/>
      <c r="D10" s="242"/>
      <c r="E10" s="242"/>
      <c r="F10" s="242"/>
      <c r="G10" s="242"/>
      <c r="H10" s="242"/>
      <c r="I10" s="242"/>
      <c r="J10" s="242"/>
      <c r="K10" s="243"/>
    </row>
    <row r="11" spans="1:11" ht="58.5" customHeight="1">
      <c r="A11" s="122"/>
      <c r="B11" s="242" t="s">
        <v>1641</v>
      </c>
      <c r="C11" s="242"/>
      <c r="D11" s="242"/>
      <c r="E11" s="242"/>
      <c r="F11" s="242"/>
      <c r="G11" s="242"/>
      <c r="H11" s="242"/>
      <c r="I11" s="242"/>
      <c r="J11" s="242"/>
      <c r="K11" s="243"/>
    </row>
    <row r="12" spans="1:11" ht="102" customHeight="1">
      <c r="A12" s="122"/>
      <c r="B12" s="242" t="s">
        <v>1651</v>
      </c>
      <c r="C12" s="242"/>
      <c r="D12" s="242"/>
      <c r="E12" s="242"/>
      <c r="F12" s="242"/>
      <c r="G12" s="242"/>
      <c r="H12" s="242"/>
      <c r="I12" s="242"/>
      <c r="J12" s="242"/>
      <c r="K12" s="243"/>
    </row>
    <row r="13" spans="1:11" ht="44.25" customHeight="1">
      <c r="A13" s="122"/>
      <c r="B13" s="242" t="s">
        <v>1652</v>
      </c>
      <c r="C13" s="242"/>
      <c r="D13" s="242"/>
      <c r="E13" s="242"/>
      <c r="F13" s="242"/>
      <c r="G13" s="242"/>
      <c r="H13" s="242"/>
      <c r="I13" s="242"/>
      <c r="J13" s="242"/>
      <c r="K13" s="243"/>
    </row>
    <row r="14" spans="1:11" ht="114" customHeight="1">
      <c r="A14" s="122"/>
      <c r="B14" s="242" t="s">
        <v>1642</v>
      </c>
      <c r="C14" s="242"/>
      <c r="D14" s="242"/>
      <c r="E14" s="242"/>
      <c r="F14" s="242"/>
      <c r="G14" s="242"/>
      <c r="H14" s="242"/>
      <c r="I14" s="242"/>
      <c r="J14" s="242"/>
      <c r="K14" s="243"/>
    </row>
    <row r="15" spans="1:11" ht="44.25" hidden="1" customHeight="1">
      <c r="A15" s="122"/>
      <c r="B15" s="242" t="s">
        <v>1654</v>
      </c>
      <c r="C15" s="242"/>
      <c r="D15" s="242"/>
      <c r="E15" s="242"/>
      <c r="F15" s="242"/>
      <c r="G15" s="242"/>
      <c r="H15" s="242"/>
      <c r="I15" s="242"/>
      <c r="J15" s="242"/>
      <c r="K15" s="243"/>
    </row>
    <row r="16" spans="1:11" ht="44.25" hidden="1" customHeight="1">
      <c r="A16" s="122"/>
      <c r="B16" s="242" t="s">
        <v>1653</v>
      </c>
      <c r="C16" s="242"/>
      <c r="D16" s="242"/>
      <c r="E16" s="242"/>
      <c r="F16" s="242"/>
      <c r="G16" s="242"/>
      <c r="H16" s="242"/>
      <c r="I16" s="242"/>
      <c r="J16" s="242"/>
      <c r="K16" s="243"/>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4" t="s">
        <v>1610</v>
      </c>
      <c r="D19" s="244"/>
      <c r="E19" s="244"/>
      <c r="F19" s="244"/>
      <c r="G19" s="244"/>
      <c r="H19" s="244"/>
      <c r="I19" s="244"/>
      <c r="J19" s="244"/>
      <c r="K19" s="120"/>
    </row>
    <row r="20" spans="1:11" ht="32.25" hidden="1" customHeight="1">
      <c r="A20" s="123" t="s">
        <v>121</v>
      </c>
      <c r="B20" s="124" t="s">
        <v>1609</v>
      </c>
      <c r="C20" s="244" t="s">
        <v>1608</v>
      </c>
      <c r="D20" s="244"/>
      <c r="E20" s="244"/>
      <c r="F20" s="244"/>
      <c r="G20" s="244"/>
      <c r="H20" s="244"/>
      <c r="I20" s="244"/>
      <c r="J20" s="244"/>
      <c r="K20" s="125"/>
    </row>
    <row r="21" spans="1:11" ht="16.5" hidden="1">
      <c r="A21" s="123" t="s">
        <v>123</v>
      </c>
      <c r="B21" s="126" t="s">
        <v>1607</v>
      </c>
      <c r="C21" s="238" t="s">
        <v>1606</v>
      </c>
      <c r="D21" s="238"/>
      <c r="E21" s="238"/>
      <c r="F21" s="238"/>
      <c r="G21" s="238"/>
      <c r="H21" s="238"/>
      <c r="I21" s="238"/>
      <c r="J21" s="238"/>
      <c r="K21" s="125"/>
    </row>
    <row r="22" spans="1:11" ht="16.5" hidden="1">
      <c r="A22" s="123" t="s">
        <v>124</v>
      </c>
      <c r="B22" s="124" t="s">
        <v>1605</v>
      </c>
      <c r="C22" s="238" t="s">
        <v>1604</v>
      </c>
      <c r="D22" s="238"/>
      <c r="E22" s="238"/>
      <c r="F22" s="238"/>
      <c r="G22" s="238"/>
      <c r="H22" s="238"/>
      <c r="I22" s="238"/>
      <c r="J22" s="238"/>
      <c r="K22" s="125"/>
    </row>
    <row r="23" spans="1:11" ht="16.5" hidden="1">
      <c r="A23" s="123" t="s">
        <v>125</v>
      </c>
      <c r="B23" s="124" t="s">
        <v>1603</v>
      </c>
      <c r="C23" s="238" t="s">
        <v>1602</v>
      </c>
      <c r="D23" s="238"/>
      <c r="E23" s="238"/>
      <c r="F23" s="238"/>
      <c r="G23" s="238"/>
      <c r="H23" s="238"/>
      <c r="I23" s="238"/>
      <c r="J23" s="238"/>
      <c r="K23" s="120"/>
    </row>
    <row r="24" spans="1:11" ht="16.5" hidden="1">
      <c r="A24" s="123" t="s">
        <v>126</v>
      </c>
      <c r="B24" s="124" t="s">
        <v>1601</v>
      </c>
      <c r="C24" s="238" t="s">
        <v>1600</v>
      </c>
      <c r="D24" s="238"/>
      <c r="E24" s="238"/>
      <c r="F24" s="238"/>
      <c r="G24" s="238"/>
      <c r="H24" s="238"/>
      <c r="I24" s="238"/>
      <c r="J24" s="238"/>
      <c r="K24" s="120"/>
    </row>
    <row r="25" spans="1:11" ht="15" hidden="1" customHeight="1">
      <c r="A25" s="123" t="s">
        <v>127</v>
      </c>
      <c r="B25" s="124" t="s">
        <v>1599</v>
      </c>
      <c r="C25" s="238" t="s">
        <v>1598</v>
      </c>
      <c r="D25" s="238"/>
      <c r="E25" s="238"/>
      <c r="F25" s="238"/>
      <c r="G25" s="238"/>
      <c r="H25" s="238"/>
      <c r="I25" s="238"/>
      <c r="J25" s="238"/>
      <c r="K25" s="120"/>
    </row>
    <row r="26" spans="1:11" ht="15" hidden="1" customHeight="1">
      <c r="A26" s="123" t="s">
        <v>128</v>
      </c>
      <c r="B26" s="124" t="s">
        <v>1597</v>
      </c>
      <c r="C26" s="238" t="s">
        <v>1596</v>
      </c>
      <c r="D26" s="238"/>
      <c r="E26" s="238"/>
      <c r="F26" s="238"/>
      <c r="G26" s="238"/>
      <c r="H26" s="238"/>
      <c r="I26" s="238"/>
      <c r="J26" s="238"/>
      <c r="K26" s="125"/>
    </row>
    <row r="27" spans="1:11" ht="16.5" hidden="1">
      <c r="A27" s="123" t="s">
        <v>129</v>
      </c>
      <c r="B27" s="124" t="s">
        <v>1595</v>
      </c>
      <c r="C27" s="238" t="s">
        <v>1594</v>
      </c>
      <c r="D27" s="238"/>
      <c r="E27" s="238"/>
      <c r="F27" s="238"/>
      <c r="G27" s="238"/>
      <c r="H27" s="238"/>
      <c r="I27" s="238"/>
      <c r="J27" s="238"/>
      <c r="K27" s="125"/>
    </row>
    <row r="28" spans="1:11" ht="16.5" hidden="1">
      <c r="A28" s="123" t="s">
        <v>1593</v>
      </c>
      <c r="B28" s="124" t="s">
        <v>1592</v>
      </c>
      <c r="C28" s="238" t="s">
        <v>1591</v>
      </c>
      <c r="D28" s="238"/>
      <c r="E28" s="238"/>
      <c r="F28" s="238"/>
      <c r="G28" s="238"/>
      <c r="H28" s="238"/>
      <c r="I28" s="238"/>
      <c r="J28" s="238"/>
      <c r="K28" s="120"/>
    </row>
    <row r="29" spans="1:11" ht="16.5" hidden="1">
      <c r="A29" s="123" t="s">
        <v>1590</v>
      </c>
      <c r="B29" s="124" t="s">
        <v>1589</v>
      </c>
      <c r="C29" s="238" t="s">
        <v>1588</v>
      </c>
      <c r="D29" s="238"/>
      <c r="E29" s="238"/>
      <c r="F29" s="238"/>
      <c r="G29" s="238"/>
      <c r="H29" s="238"/>
      <c r="I29" s="238"/>
      <c r="J29" s="238"/>
      <c r="K29" s="120"/>
    </row>
    <row r="30" spans="1:11" ht="16.5" hidden="1">
      <c r="A30" s="123" t="s">
        <v>1587</v>
      </c>
      <c r="B30" s="124" t="s">
        <v>1586</v>
      </c>
      <c r="C30" s="238" t="s">
        <v>1585</v>
      </c>
      <c r="D30" s="238"/>
      <c r="E30" s="238"/>
      <c r="F30" s="238"/>
      <c r="G30" s="238"/>
      <c r="H30" s="238"/>
      <c r="I30" s="238"/>
      <c r="J30" s="238"/>
      <c r="K30" s="120"/>
    </row>
    <row r="31" spans="1:11" ht="16.5" hidden="1">
      <c r="A31" s="123" t="s">
        <v>1584</v>
      </c>
      <c r="B31" s="124" t="s">
        <v>1583</v>
      </c>
      <c r="C31" s="238" t="s">
        <v>1582</v>
      </c>
      <c r="D31" s="238"/>
      <c r="E31" s="238"/>
      <c r="F31" s="238"/>
      <c r="G31" s="238"/>
      <c r="H31" s="238"/>
      <c r="I31" s="238"/>
      <c r="J31" s="238"/>
      <c r="K31" s="120"/>
    </row>
    <row r="32" spans="1:11" ht="30" hidden="1" customHeight="1">
      <c r="A32" s="123" t="s">
        <v>1581</v>
      </c>
      <c r="B32" s="124" t="s">
        <v>1580</v>
      </c>
      <c r="C32" s="238" t="s">
        <v>1579</v>
      </c>
      <c r="D32" s="238"/>
      <c r="E32" s="238"/>
      <c r="F32" s="238"/>
      <c r="G32" s="238"/>
      <c r="H32" s="238"/>
      <c r="I32" s="238"/>
      <c r="J32" s="238"/>
      <c r="K32" s="127"/>
    </row>
    <row r="33" spans="1:11" ht="30" hidden="1" customHeight="1">
      <c r="A33" s="123" t="s">
        <v>1578</v>
      </c>
      <c r="B33" s="124" t="s">
        <v>1577</v>
      </c>
      <c r="C33" s="238" t="s">
        <v>1576</v>
      </c>
      <c r="D33" s="238"/>
      <c r="E33" s="238"/>
      <c r="F33" s="238"/>
      <c r="G33" s="238"/>
      <c r="H33" s="238"/>
      <c r="I33" s="238"/>
      <c r="J33" s="238"/>
      <c r="K33" s="127"/>
    </row>
    <row r="34" spans="1:11" ht="16.5" hidden="1">
      <c r="A34" s="123" t="s">
        <v>1575</v>
      </c>
      <c r="B34" s="124" t="s">
        <v>1574</v>
      </c>
      <c r="C34" s="238" t="s">
        <v>1573</v>
      </c>
      <c r="D34" s="238"/>
      <c r="E34" s="238"/>
      <c r="F34" s="238"/>
      <c r="G34" s="238"/>
      <c r="H34" s="238"/>
      <c r="I34" s="238"/>
      <c r="J34" s="238"/>
      <c r="K34" s="127"/>
    </row>
    <row r="35" spans="1:11" ht="30" hidden="1" customHeight="1">
      <c r="A35" s="123" t="s">
        <v>1572</v>
      </c>
      <c r="B35" s="124" t="s">
        <v>1571</v>
      </c>
      <c r="C35" s="238" t="s">
        <v>1570</v>
      </c>
      <c r="D35" s="238"/>
      <c r="E35" s="238"/>
      <c r="F35" s="238"/>
      <c r="G35" s="238"/>
      <c r="H35" s="238"/>
      <c r="I35" s="238"/>
      <c r="J35" s="238"/>
      <c r="K35" s="127"/>
    </row>
    <row r="36" spans="1:11" ht="16.5" hidden="1">
      <c r="A36" s="123" t="s">
        <v>1569</v>
      </c>
      <c r="B36" s="124" t="s">
        <v>1568</v>
      </c>
      <c r="C36" s="238" t="s">
        <v>1567</v>
      </c>
      <c r="D36" s="238"/>
      <c r="E36" s="238"/>
      <c r="F36" s="238"/>
      <c r="G36" s="238"/>
      <c r="H36" s="238"/>
      <c r="I36" s="238"/>
      <c r="J36" s="238"/>
      <c r="K36" s="127"/>
    </row>
    <row r="37" spans="1:11" ht="30" hidden="1" customHeight="1">
      <c r="A37" s="123" t="s">
        <v>1566</v>
      </c>
      <c r="B37" s="124" t="s">
        <v>1565</v>
      </c>
      <c r="C37" s="238" t="s">
        <v>1564</v>
      </c>
      <c r="D37" s="238"/>
      <c r="E37" s="238"/>
      <c r="F37" s="238"/>
      <c r="G37" s="238"/>
      <c r="H37" s="238"/>
      <c r="I37" s="238"/>
      <c r="J37" s="238"/>
      <c r="K37" s="127"/>
    </row>
    <row r="38" spans="1:11" ht="30" hidden="1" customHeight="1">
      <c r="A38" s="123" t="s">
        <v>1563</v>
      </c>
      <c r="B38" s="124" t="s">
        <v>1562</v>
      </c>
      <c r="C38" s="238" t="s">
        <v>1561</v>
      </c>
      <c r="D38" s="238"/>
      <c r="E38" s="238"/>
      <c r="F38" s="238"/>
      <c r="G38" s="238"/>
      <c r="H38" s="238"/>
      <c r="I38" s="238"/>
      <c r="J38" s="238"/>
      <c r="K38" s="127"/>
    </row>
    <row r="39" spans="1:11" ht="16.5" hidden="1">
      <c r="A39" s="123" t="s">
        <v>1560</v>
      </c>
      <c r="B39" s="124" t="s">
        <v>1559</v>
      </c>
      <c r="C39" s="238" t="s">
        <v>1558</v>
      </c>
      <c r="D39" s="238"/>
      <c r="E39" s="238"/>
      <c r="F39" s="238"/>
      <c r="G39" s="238"/>
      <c r="H39" s="238"/>
      <c r="I39" s="238"/>
      <c r="J39" s="238"/>
      <c r="K39" s="127"/>
    </row>
    <row r="40" spans="1:11" ht="16.5" hidden="1">
      <c r="A40" s="123" t="s">
        <v>1557</v>
      </c>
      <c r="B40" s="124" t="s">
        <v>1556</v>
      </c>
      <c r="C40" s="238" t="s">
        <v>1555</v>
      </c>
      <c r="D40" s="238"/>
      <c r="E40" s="238"/>
      <c r="F40" s="238"/>
      <c r="G40" s="238"/>
      <c r="H40" s="238"/>
      <c r="I40" s="238"/>
      <c r="J40" s="238"/>
      <c r="K40" s="127"/>
    </row>
    <row r="41" spans="1:11" ht="16.5" hidden="1">
      <c r="A41" s="123" t="s">
        <v>1554</v>
      </c>
      <c r="B41" s="124" t="s">
        <v>1393</v>
      </c>
      <c r="C41" s="238" t="s">
        <v>1553</v>
      </c>
      <c r="D41" s="238"/>
      <c r="E41" s="238"/>
      <c r="F41" s="238"/>
      <c r="G41" s="238"/>
      <c r="H41" s="238"/>
      <c r="I41" s="238"/>
      <c r="J41" s="238"/>
      <c r="K41" s="127"/>
    </row>
    <row r="42" spans="1:11" ht="15" hidden="1" customHeight="1">
      <c r="A42" s="123" t="s">
        <v>1552</v>
      </c>
      <c r="B42" s="124" t="s">
        <v>1503</v>
      </c>
      <c r="C42" s="238" t="s">
        <v>1551</v>
      </c>
      <c r="D42" s="238"/>
      <c r="E42" s="238"/>
      <c r="F42" s="238"/>
      <c r="G42" s="238"/>
      <c r="H42" s="238"/>
      <c r="I42" s="238"/>
      <c r="J42" s="238"/>
      <c r="K42" s="127"/>
    </row>
    <row r="43" spans="1:11" ht="16.5" hidden="1">
      <c r="A43" s="123" t="s">
        <v>1550</v>
      </c>
      <c r="B43" s="124" t="s">
        <v>1549</v>
      </c>
      <c r="C43" s="238" t="s">
        <v>1548</v>
      </c>
      <c r="D43" s="238"/>
      <c r="E43" s="238"/>
      <c r="F43" s="238"/>
      <c r="G43" s="238"/>
      <c r="H43" s="238"/>
      <c r="I43" s="238"/>
      <c r="J43" s="238"/>
      <c r="K43" s="127"/>
    </row>
    <row r="44" spans="1:11" ht="16.5" hidden="1">
      <c r="A44" s="123" t="s">
        <v>1547</v>
      </c>
      <c r="B44" s="124" t="s">
        <v>1546</v>
      </c>
      <c r="C44" s="238" t="s">
        <v>1545</v>
      </c>
      <c r="D44" s="238"/>
      <c r="E44" s="238"/>
      <c r="F44" s="238"/>
      <c r="G44" s="238"/>
      <c r="H44" s="238"/>
      <c r="I44" s="238"/>
      <c r="J44" s="238"/>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2019-03-05T20:38:25Z</dcterms:modified>
</cp:coreProperties>
</file>