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9180" windowHeight="11640" activeTab="0"/>
  </bookViews>
  <sheets>
    <sheet name="C825" sheetId="1" r:id="rId1"/>
  </sheets>
  <definedNames>
    <definedName name="_Regression_Int" localSheetId="0" hidden="1">1</definedName>
    <definedName name="_xlnm.Print_Area" localSheetId="0">'C825'!$A$1:$R$57</definedName>
  </definedNames>
  <calcPr fullCalcOnLoad="1"/>
</workbook>
</file>

<file path=xl/sharedStrings.xml><?xml version="1.0" encoding="utf-8"?>
<sst xmlns="http://schemas.openxmlformats.org/spreadsheetml/2006/main" count="69" uniqueCount="53">
  <si>
    <t>TOTAL DPTO.</t>
  </si>
  <si>
    <t xml:space="preserve">Neiva </t>
  </si>
  <si>
    <t>Aipe</t>
  </si>
  <si>
    <t xml:space="preserve">Algeciras </t>
  </si>
  <si>
    <t xml:space="preserve">Baraya </t>
  </si>
  <si>
    <t>Campoalegre</t>
  </si>
  <si>
    <t>Colombia</t>
  </si>
  <si>
    <t>Hobo</t>
  </si>
  <si>
    <t xml:space="preserve">Iquira </t>
  </si>
  <si>
    <t xml:space="preserve">Palermo </t>
  </si>
  <si>
    <t xml:space="preserve">Rivera </t>
  </si>
  <si>
    <t xml:space="preserve">Tello </t>
  </si>
  <si>
    <t>Teruel</t>
  </si>
  <si>
    <t>Villavieja</t>
  </si>
  <si>
    <t>Yaguará</t>
  </si>
  <si>
    <t>La Argentina</t>
  </si>
  <si>
    <t>La Plata</t>
  </si>
  <si>
    <t xml:space="preserve">Tesalia </t>
  </si>
  <si>
    <t>Altamira</t>
  </si>
  <si>
    <t xml:space="preserve">Garzón </t>
  </si>
  <si>
    <t xml:space="preserve">Gigante </t>
  </si>
  <si>
    <t>Guadalupe</t>
  </si>
  <si>
    <t xml:space="preserve">Pital </t>
  </si>
  <si>
    <t>Suaza</t>
  </si>
  <si>
    <t>Tarqui</t>
  </si>
  <si>
    <t>Acevedo</t>
  </si>
  <si>
    <t>Elías</t>
  </si>
  <si>
    <t>Isnos</t>
  </si>
  <si>
    <t>Oporapa</t>
  </si>
  <si>
    <t>Palestina</t>
  </si>
  <si>
    <t xml:space="preserve">Pitalito </t>
  </si>
  <si>
    <t>Saladoblanco</t>
  </si>
  <si>
    <t>San Agustín</t>
  </si>
  <si>
    <t xml:space="preserve">Timaná </t>
  </si>
  <si>
    <t>Santa María</t>
  </si>
  <si>
    <t>U</t>
  </si>
  <si>
    <t>R</t>
  </si>
  <si>
    <t>Agrado</t>
  </si>
  <si>
    <t>Nátaga</t>
  </si>
  <si>
    <t>Paicol</t>
  </si>
  <si>
    <t>BASICA PRIMARIA</t>
  </si>
  <si>
    <t>BASICA SECUNDARIA</t>
  </si>
  <si>
    <t>MEDIA VOCACIONAL</t>
  </si>
  <si>
    <t>V.  EDUCACION PARA ADULTOS</t>
  </si>
  <si>
    <t>TOTAL MATRICULAS</t>
  </si>
  <si>
    <t>TOTAL</t>
  </si>
  <si>
    <t>FUENTE: Secretaria de Educación Departamental, Secretaria de Educación Municipal de Neiva y Pitalito.</t>
  </si>
  <si>
    <t>MUNICIPIOS</t>
  </si>
  <si>
    <t>Oficial</t>
  </si>
  <si>
    <t>No Oficial</t>
  </si>
  <si>
    <t>MUNICIPIOS EN EL DEPARTAMENTO</t>
  </si>
  <si>
    <t>1.  ALUMNOS MATRICULADOS POR INSTITUCIONES Y CENTROS EDUCATIVOS, NIVELES, SECTORES, ZONAS Y</t>
  </si>
  <si>
    <t>CODIGO DANE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</si>
</sst>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;;"/>
    <numFmt numFmtId="193" formatCode="0_)"/>
    <numFmt numFmtId="194" formatCode="_ * #,##0_ ;_ * \-#,##0_ ;_ * &quot;-&quot;??_ ;_ @_ "/>
    <numFmt numFmtId="195" formatCode="#,##0;[Red]#,##0"/>
    <numFmt numFmtId="196" formatCode="[$-240A]dddd\,\ dd&quot; de &quot;mmmm&quot; de &quot;yyyy"/>
    <numFmt numFmtId="197" formatCode="[$-240A]hh:mm:ss\ AM/PM"/>
    <numFmt numFmtId="198" formatCode="0_);\(0\)"/>
  </numFmts>
  <fonts count="46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"/>
      <color indexed="18"/>
      <name val="Courier"/>
      <family val="3"/>
    </font>
    <font>
      <b/>
      <u val="single"/>
      <sz val="1"/>
      <color indexed="17"/>
      <name val="Courier"/>
      <family val="3"/>
    </font>
    <font>
      <b/>
      <sz val="1"/>
      <color indexed="20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name val="Courier"/>
      <family val="3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192" fontId="5" fillId="0" borderId="0">
      <alignment/>
      <protection locked="0"/>
    </xf>
    <xf numFmtId="192" fontId="6" fillId="0" borderId="0">
      <alignment/>
      <protection locked="0"/>
    </xf>
    <xf numFmtId="192" fontId="7" fillId="0" borderId="0">
      <alignment/>
      <protection locked="0"/>
    </xf>
    <xf numFmtId="192" fontId="8" fillId="0" borderId="0">
      <alignment/>
      <protection locked="0"/>
    </xf>
    <xf numFmtId="192" fontId="9" fillId="0" borderId="0">
      <alignment/>
      <protection locked="0"/>
    </xf>
    <xf numFmtId="192" fontId="9" fillId="0" borderId="0">
      <alignment/>
      <protection locked="0"/>
    </xf>
    <xf numFmtId="192" fontId="10" fillId="0" borderId="0">
      <alignment/>
      <protection locked="0"/>
    </xf>
    <xf numFmtId="0" fontId="38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6">
    <xf numFmtId="37" fontId="0" fillId="0" borderId="0" xfId="0" applyAlignment="1">
      <alignment/>
    </xf>
    <xf numFmtId="37" fontId="1" fillId="33" borderId="0" xfId="0" applyFont="1" applyFill="1" applyAlignment="1" applyProtection="1">
      <alignment horizontal="centerContinuous"/>
      <protection/>
    </xf>
    <xf numFmtId="37" fontId="1" fillId="33" borderId="0" xfId="0" applyFont="1" applyFill="1" applyAlignment="1">
      <alignment horizontal="centerContinuous"/>
    </xf>
    <xf numFmtId="37" fontId="4" fillId="33" borderId="0" xfId="0" applyFont="1" applyFill="1" applyAlignment="1">
      <alignment/>
    </xf>
    <xf numFmtId="37" fontId="0" fillId="33" borderId="0" xfId="0" applyFill="1" applyAlignment="1">
      <alignment/>
    </xf>
    <xf numFmtId="37" fontId="1" fillId="33" borderId="10" xfId="0" applyFont="1" applyFill="1" applyBorder="1" applyAlignment="1">
      <alignment/>
    </xf>
    <xf numFmtId="37" fontId="1" fillId="33" borderId="11" xfId="0" applyFont="1" applyFill="1" applyBorder="1" applyAlignment="1">
      <alignment/>
    </xf>
    <xf numFmtId="37" fontId="4" fillId="33" borderId="0" xfId="0" applyFont="1" applyFill="1" applyBorder="1" applyAlignment="1">
      <alignment/>
    </xf>
    <xf numFmtId="37" fontId="1" fillId="33" borderId="0" xfId="0" applyFont="1" applyFill="1" applyBorder="1" applyAlignment="1">
      <alignment/>
    </xf>
    <xf numFmtId="37" fontId="1" fillId="33" borderId="0" xfId="0" applyFont="1" applyFill="1" applyBorder="1" applyAlignment="1" applyProtection="1">
      <alignment horizontal="left"/>
      <protection/>
    </xf>
    <xf numFmtId="37" fontId="1" fillId="33" borderId="12" xfId="0" applyFont="1" applyFill="1" applyBorder="1" applyAlignment="1">
      <alignment/>
    </xf>
    <xf numFmtId="37" fontId="4" fillId="33" borderId="13" xfId="0" applyFont="1" applyFill="1" applyBorder="1" applyAlignment="1">
      <alignment/>
    </xf>
    <xf numFmtId="37" fontId="4" fillId="33" borderId="14" xfId="0" applyFont="1" applyFill="1" applyBorder="1" applyAlignment="1">
      <alignment/>
    </xf>
    <xf numFmtId="37" fontId="1" fillId="33" borderId="0" xfId="0" applyFont="1" applyFill="1" applyAlignment="1" applyProtection="1">
      <alignment horizontal="centerContinuous"/>
      <protection/>
    </xf>
    <xf numFmtId="195" fontId="1" fillId="33" borderId="10" xfId="0" applyNumberFormat="1" applyFont="1" applyFill="1" applyBorder="1" applyAlignment="1" applyProtection="1">
      <alignment horizontal="right"/>
      <protection/>
    </xf>
    <xf numFmtId="195" fontId="1" fillId="33" borderId="10" xfId="0" applyNumberFormat="1" applyFont="1" applyFill="1" applyBorder="1" applyAlignment="1" applyProtection="1">
      <alignment horizontal="right"/>
      <protection/>
    </xf>
    <xf numFmtId="195" fontId="1" fillId="33" borderId="15" xfId="0" applyNumberFormat="1" applyFont="1" applyFill="1" applyBorder="1" applyAlignment="1" applyProtection="1">
      <alignment horizontal="right"/>
      <protection/>
    </xf>
    <xf numFmtId="195" fontId="1" fillId="33" borderId="16" xfId="0" applyNumberFormat="1" applyFont="1" applyFill="1" applyBorder="1" applyAlignment="1" applyProtection="1">
      <alignment horizontal="right"/>
      <protection/>
    </xf>
    <xf numFmtId="195" fontId="1" fillId="0" borderId="10" xfId="0" applyNumberFormat="1" applyFont="1" applyFill="1" applyBorder="1" applyAlignment="1">
      <alignment/>
    </xf>
    <xf numFmtId="195" fontId="1" fillId="0" borderId="10" xfId="0" applyNumberFormat="1" applyFont="1" applyFill="1" applyBorder="1" applyAlignment="1">
      <alignment horizontal="right"/>
    </xf>
    <xf numFmtId="195" fontId="1" fillId="0" borderId="10" xfId="0" applyNumberFormat="1" applyFont="1" applyFill="1" applyBorder="1" applyAlignment="1">
      <alignment horizontal="right"/>
    </xf>
    <xf numFmtId="195" fontId="1" fillId="0" borderId="11" xfId="0" applyNumberFormat="1" applyFont="1" applyFill="1" applyBorder="1" applyAlignment="1">
      <alignment horizontal="right"/>
    </xf>
    <xf numFmtId="195" fontId="1" fillId="0" borderId="16" xfId="0" applyNumberFormat="1" applyFont="1" applyFill="1" applyBorder="1" applyAlignment="1" applyProtection="1">
      <alignment horizontal="right"/>
      <protection/>
    </xf>
    <xf numFmtId="195" fontId="4" fillId="0" borderId="15" xfId="0" applyNumberFormat="1" applyFont="1" applyFill="1" applyBorder="1" applyAlignment="1" applyProtection="1">
      <alignment horizontal="right"/>
      <protection/>
    </xf>
    <xf numFmtId="195" fontId="1" fillId="33" borderId="0" xfId="0" applyNumberFormat="1" applyFont="1" applyFill="1" applyBorder="1" applyAlignment="1" applyProtection="1">
      <alignment horizontal="right"/>
      <protection/>
    </xf>
    <xf numFmtId="37" fontId="4" fillId="0" borderId="0" xfId="0" applyFont="1" applyAlignment="1">
      <alignment/>
    </xf>
    <xf numFmtId="195" fontId="4" fillId="33" borderId="11" xfId="0" applyNumberFormat="1" applyFont="1" applyFill="1" applyBorder="1" applyAlignment="1" applyProtection="1">
      <alignment horizontal="right"/>
      <protection/>
    </xf>
    <xf numFmtId="1" fontId="1" fillId="34" borderId="17" xfId="0" applyNumberFormat="1" applyFont="1" applyFill="1" applyBorder="1" applyAlignment="1">
      <alignment horizontal="centerContinuous" vertical="center"/>
    </xf>
    <xf numFmtId="1" fontId="1" fillId="34" borderId="18" xfId="0" applyNumberFormat="1" applyFont="1" applyFill="1" applyBorder="1" applyAlignment="1">
      <alignment horizontal="centerContinuous" vertical="center"/>
    </xf>
    <xf numFmtId="195" fontId="4" fillId="0" borderId="16" xfId="0" applyNumberFormat="1" applyFont="1" applyFill="1" applyBorder="1" applyAlignment="1" applyProtection="1">
      <alignment horizontal="right"/>
      <protection/>
    </xf>
    <xf numFmtId="195" fontId="4" fillId="0" borderId="16" xfId="0" applyNumberFormat="1" applyFont="1" applyFill="1" applyBorder="1" applyAlignment="1" applyProtection="1">
      <alignment horizontal="right"/>
      <protection/>
    </xf>
    <xf numFmtId="195" fontId="4" fillId="0" borderId="10" xfId="0" applyNumberFormat="1" applyFont="1" applyFill="1" applyBorder="1" applyAlignment="1" applyProtection="1">
      <alignment horizontal="right"/>
      <protection/>
    </xf>
    <xf numFmtId="37" fontId="4" fillId="0" borderId="0" xfId="0" applyFont="1" applyFill="1" applyAlignment="1">
      <alignment/>
    </xf>
    <xf numFmtId="37" fontId="4" fillId="0" borderId="13" xfId="0" applyFont="1" applyFill="1" applyBorder="1" applyAlignment="1">
      <alignment/>
    </xf>
    <xf numFmtId="195" fontId="4" fillId="33" borderId="15" xfId="0" applyNumberFormat="1" applyFont="1" applyFill="1" applyBorder="1" applyAlignment="1" applyProtection="1">
      <alignment horizontal="right"/>
      <protection/>
    </xf>
    <xf numFmtId="37" fontId="4" fillId="0" borderId="0" xfId="0" applyFont="1" applyFill="1" applyBorder="1" applyAlignment="1">
      <alignment/>
    </xf>
    <xf numFmtId="195" fontId="1" fillId="0" borderId="1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>
      <alignment horizontal="right"/>
    </xf>
    <xf numFmtId="0" fontId="4" fillId="0" borderId="16" xfId="0" applyNumberFormat="1" applyFont="1" applyFill="1" applyBorder="1" applyAlignment="1" applyProtection="1">
      <alignment horizontal="right"/>
      <protection/>
    </xf>
    <xf numFmtId="37" fontId="1" fillId="34" borderId="19" xfId="0" applyFont="1" applyFill="1" applyBorder="1" applyAlignment="1" applyProtection="1">
      <alignment horizontal="center" vertical="center"/>
      <protection/>
    </xf>
    <xf numFmtId="37" fontId="1" fillId="34" borderId="20" xfId="0" applyFont="1" applyFill="1" applyBorder="1" applyAlignment="1" applyProtection="1">
      <alignment horizontal="center" vertical="center"/>
      <protection/>
    </xf>
    <xf numFmtId="37" fontId="1" fillId="34" borderId="21" xfId="0" applyFont="1" applyFill="1" applyBorder="1" applyAlignment="1" applyProtection="1">
      <alignment horizontal="center" vertical="center" wrapText="1"/>
      <protection/>
    </xf>
    <xf numFmtId="37" fontId="11" fillId="0" borderId="22" xfId="0" applyFont="1" applyBorder="1" applyAlignment="1">
      <alignment horizontal="center" vertical="center" wrapText="1"/>
    </xf>
    <xf numFmtId="37" fontId="1" fillId="34" borderId="23" xfId="0" applyFont="1" applyFill="1" applyBorder="1" applyAlignment="1">
      <alignment horizontal="center" vertical="center"/>
    </xf>
    <xf numFmtId="37" fontId="1" fillId="34" borderId="24" xfId="0" applyFont="1" applyFill="1" applyBorder="1" applyAlignment="1">
      <alignment horizontal="center" vertical="center"/>
    </xf>
    <xf numFmtId="37" fontId="1" fillId="34" borderId="25" xfId="0" applyFont="1" applyFill="1" applyBorder="1" applyAlignment="1">
      <alignment horizontal="center" vertical="center"/>
    </xf>
    <xf numFmtId="37" fontId="1" fillId="34" borderId="26" xfId="0" applyFont="1" applyFill="1" applyBorder="1" applyAlignment="1" applyProtection="1">
      <alignment horizontal="center" vertical="center"/>
      <protection/>
    </xf>
    <xf numFmtId="37" fontId="1" fillId="34" borderId="19" xfId="0" applyFont="1" applyFill="1" applyBorder="1" applyAlignment="1" applyProtection="1">
      <alignment horizontal="center" vertical="center"/>
      <protection/>
    </xf>
    <xf numFmtId="37" fontId="1" fillId="34" borderId="23" xfId="0" applyFont="1" applyFill="1" applyBorder="1" applyAlignment="1" applyProtection="1">
      <alignment horizontal="center" vertical="center"/>
      <protection/>
    </xf>
    <xf numFmtId="37" fontId="1" fillId="34" borderId="24" xfId="0" applyFont="1" applyFill="1" applyBorder="1" applyAlignment="1" applyProtection="1">
      <alignment horizontal="center" vertical="center"/>
      <protection/>
    </xf>
    <xf numFmtId="37" fontId="1" fillId="34" borderId="27" xfId="0" applyFont="1" applyFill="1" applyBorder="1" applyAlignment="1" applyProtection="1">
      <alignment horizontal="center" vertical="center"/>
      <protection/>
    </xf>
    <xf numFmtId="37" fontId="1" fillId="34" borderId="27" xfId="0" applyFont="1" applyFill="1" applyBorder="1" applyAlignment="1">
      <alignment horizontal="center" vertical="center"/>
    </xf>
    <xf numFmtId="37" fontId="12" fillId="34" borderId="28" xfId="0" applyFont="1" applyFill="1" applyBorder="1" applyAlignment="1" applyProtection="1">
      <alignment horizontal="center" vertical="center" wrapText="1"/>
      <protection/>
    </xf>
    <xf numFmtId="37" fontId="12" fillId="34" borderId="16" xfId="0" applyFont="1" applyFill="1" applyBorder="1" applyAlignment="1" applyProtection="1">
      <alignment horizontal="center" vertical="center" wrapText="1"/>
      <protection/>
    </xf>
    <xf numFmtId="37" fontId="12" fillId="34" borderId="22" xfId="0" applyFont="1" applyFill="1" applyBorder="1" applyAlignment="1" applyProtection="1">
      <alignment horizontal="center" vertical="center" wrapText="1"/>
      <protection/>
    </xf>
    <xf numFmtId="37" fontId="1" fillId="34" borderId="20" xfId="0" applyFont="1" applyFill="1" applyBorder="1" applyAlignment="1" applyProtection="1">
      <alignment horizontal="center" vertical="center"/>
      <protection/>
    </xf>
    <xf numFmtId="37" fontId="1" fillId="34" borderId="29" xfId="0" applyFont="1" applyFill="1" applyBorder="1" applyAlignment="1" applyProtection="1">
      <alignment horizontal="center" vertical="center" wrapText="1"/>
      <protection/>
    </xf>
    <xf numFmtId="37" fontId="1" fillId="34" borderId="30" xfId="0" applyFont="1" applyFill="1" applyBorder="1" applyAlignment="1" applyProtection="1">
      <alignment horizontal="center" vertical="center" wrapText="1"/>
      <protection/>
    </xf>
    <xf numFmtId="37" fontId="1" fillId="34" borderId="31" xfId="0" applyFont="1" applyFill="1" applyBorder="1" applyAlignment="1" applyProtection="1">
      <alignment horizontal="center" vertical="center" wrapText="1"/>
      <protection/>
    </xf>
    <xf numFmtId="37" fontId="1" fillId="34" borderId="28" xfId="0" applyFont="1" applyFill="1" applyBorder="1" applyAlignment="1" applyProtection="1">
      <alignment horizontal="center" vertical="center"/>
      <protection/>
    </xf>
    <xf numFmtId="37" fontId="1" fillId="34" borderId="16" xfId="0" applyFont="1" applyFill="1" applyBorder="1" applyAlignment="1" applyProtection="1">
      <alignment horizontal="center" vertical="center"/>
      <protection/>
    </xf>
    <xf numFmtId="37" fontId="1" fillId="34" borderId="22" xfId="0" applyFont="1" applyFill="1" applyBorder="1" applyAlignment="1" applyProtection="1">
      <alignment horizontal="center" vertical="center"/>
      <protection/>
    </xf>
    <xf numFmtId="37" fontId="1" fillId="33" borderId="16" xfId="0" applyFont="1" applyFill="1" applyBorder="1" applyAlignment="1">
      <alignment/>
    </xf>
    <xf numFmtId="37" fontId="1" fillId="33" borderId="16" xfId="0" applyFont="1" applyFill="1" applyBorder="1" applyAlignment="1" applyProtection="1">
      <alignment horizontal="left"/>
      <protection/>
    </xf>
    <xf numFmtId="37" fontId="4" fillId="33" borderId="16" xfId="0" applyFont="1" applyFill="1" applyBorder="1" applyAlignment="1" applyProtection="1">
      <alignment horizontal="left"/>
      <protection/>
    </xf>
    <xf numFmtId="37" fontId="1" fillId="35" borderId="29" xfId="0" applyFont="1" applyFill="1" applyBorder="1" applyAlignment="1">
      <alignment horizontal="center"/>
    </xf>
    <xf numFmtId="37" fontId="1" fillId="35" borderId="32" xfId="0" applyFont="1" applyFill="1" applyBorder="1" applyAlignment="1">
      <alignment horizontal="center"/>
    </xf>
    <xf numFmtId="37" fontId="1" fillId="35" borderId="33" xfId="0" applyFont="1" applyFill="1" applyBorder="1" applyAlignment="1">
      <alignment horizontal="center"/>
    </xf>
    <xf numFmtId="37" fontId="1" fillId="35" borderId="30" xfId="0" applyFont="1" applyFill="1" applyBorder="1" applyAlignment="1" applyProtection="1">
      <alignment horizontal="center"/>
      <protection/>
    </xf>
    <xf numFmtId="37" fontId="1" fillId="35" borderId="0" xfId="0" applyFont="1" applyFill="1" applyBorder="1" applyAlignment="1" applyProtection="1">
      <alignment horizontal="center"/>
      <protection/>
    </xf>
    <xf numFmtId="37" fontId="1" fillId="35" borderId="11" xfId="0" applyFont="1" applyFill="1" applyBorder="1" applyAlignment="1" applyProtection="1">
      <alignment horizontal="center"/>
      <protection/>
    </xf>
    <xf numFmtId="37" fontId="1" fillId="35" borderId="34" xfId="0" applyFont="1" applyFill="1" applyBorder="1" applyAlignment="1" applyProtection="1">
      <alignment horizontal="center"/>
      <protection/>
    </xf>
    <xf numFmtId="37" fontId="1" fillId="35" borderId="12" xfId="0" applyFont="1" applyFill="1" applyBorder="1" applyAlignment="1" applyProtection="1">
      <alignment horizontal="center"/>
      <protection/>
    </xf>
    <xf numFmtId="37" fontId="1" fillId="35" borderId="35" xfId="0" applyFont="1" applyFill="1" applyBorder="1" applyAlignment="1" applyProtection="1">
      <alignment horizontal="center"/>
      <protection/>
    </xf>
    <xf numFmtId="0" fontId="1" fillId="34" borderId="36" xfId="0" applyNumberFormat="1" applyFont="1" applyFill="1" applyBorder="1" applyAlignment="1">
      <alignment vertical="center"/>
    </xf>
    <xf numFmtId="37" fontId="0" fillId="34" borderId="37" xfId="0" applyFill="1" applyBorder="1" applyAlignment="1">
      <alignment/>
    </xf>
    <xf numFmtId="37" fontId="1" fillId="34" borderId="37" xfId="0" applyFont="1" applyFill="1" applyBorder="1" applyAlignment="1">
      <alignment/>
    </xf>
    <xf numFmtId="37" fontId="4" fillId="34" borderId="37" xfId="0" applyFont="1" applyFill="1" applyBorder="1" applyAlignment="1">
      <alignment/>
    </xf>
    <xf numFmtId="37" fontId="4" fillId="34" borderId="38" xfId="0" applyFont="1" applyFill="1" applyBorder="1" applyAlignment="1">
      <alignment/>
    </xf>
    <xf numFmtId="37" fontId="0" fillId="0" borderId="30" xfId="0" applyBorder="1" applyAlignment="1">
      <alignment/>
    </xf>
    <xf numFmtId="37" fontId="0" fillId="0" borderId="34" xfId="0" applyBorder="1" applyAlignment="1">
      <alignment/>
    </xf>
    <xf numFmtId="37" fontId="1" fillId="0" borderId="30" xfId="0" applyFont="1" applyBorder="1" applyAlignment="1">
      <alignment horizontal="center"/>
    </xf>
    <xf numFmtId="198" fontId="4" fillId="0" borderId="30" xfId="0" applyNumberFormat="1" applyFont="1" applyBorder="1" applyAlignment="1">
      <alignment horizontal="center"/>
    </xf>
    <xf numFmtId="1" fontId="1" fillId="35" borderId="36" xfId="0" applyNumberFormat="1" applyFont="1" applyFill="1" applyBorder="1" applyAlignment="1">
      <alignment horizontal="center" vertical="center"/>
    </xf>
    <xf numFmtId="1" fontId="1" fillId="35" borderId="37" xfId="0" applyNumberFormat="1" applyFont="1" applyFill="1" applyBorder="1" applyAlignment="1">
      <alignment horizontal="center" vertical="center"/>
    </xf>
    <xf numFmtId="1" fontId="1" fillId="35" borderId="38" xfId="0" applyNumberFormat="1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57150</xdr:rowOff>
    </xdr:from>
    <xdr:to>
      <xdr:col>1</xdr:col>
      <xdr:colOff>923925</xdr:colOff>
      <xdr:row>4</xdr:row>
      <xdr:rowOff>76200</xdr:rowOff>
    </xdr:to>
    <xdr:pic>
      <xdr:nvPicPr>
        <xdr:cNvPr id="1" name="Imagen 1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1676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6:X95"/>
  <sheetViews>
    <sheetView showGridLines="0" tabSelected="1" view="pageBreakPreview" zoomScaleSheetLayoutView="100" zoomScalePageLayoutView="0" workbookViewId="0" topLeftCell="A1">
      <selection activeCell="A10" sqref="A10:R10"/>
    </sheetView>
  </sheetViews>
  <sheetFormatPr defaultColWidth="9.609375" defaultRowHeight="20.25"/>
  <cols>
    <col min="1" max="1" width="6.83984375" style="0" customWidth="1"/>
    <col min="2" max="2" width="8.0703125" style="0" customWidth="1"/>
    <col min="3" max="3" width="7" style="0" customWidth="1"/>
    <col min="4" max="4" width="4.609375" style="0" customWidth="1"/>
    <col min="5" max="5" width="4.1484375" style="0" customWidth="1"/>
    <col min="6" max="6" width="3.921875" style="0" customWidth="1"/>
    <col min="7" max="7" width="4.1484375" style="0" customWidth="1"/>
    <col min="8" max="8" width="3.23046875" style="0" customWidth="1"/>
    <col min="9" max="9" width="4.609375" style="0" customWidth="1"/>
    <col min="10" max="10" width="4.1484375" style="0" customWidth="1"/>
    <col min="11" max="11" width="3.921875" style="0" customWidth="1"/>
    <col min="12" max="12" width="4.1484375" style="0" customWidth="1"/>
    <col min="13" max="13" width="3.23046875" style="0" customWidth="1"/>
    <col min="14" max="14" width="4.609375" style="0" customWidth="1"/>
    <col min="15" max="15" width="4.1484375" style="0" customWidth="1"/>
    <col min="16" max="16" width="3.921875" style="0" customWidth="1"/>
    <col min="17" max="17" width="4.1484375" style="0" customWidth="1"/>
    <col min="18" max="18" width="3.23046875" style="0" customWidth="1"/>
    <col min="19" max="19" width="3.83984375" style="0" customWidth="1"/>
    <col min="20" max="20" width="5.69140625" style="0" customWidth="1"/>
    <col min="21" max="21" width="5.23046875" style="0" customWidth="1"/>
    <col min="22" max="22" width="5.609375" style="0" customWidth="1"/>
    <col min="23" max="23" width="1.60546875" style="0" customWidth="1"/>
    <col min="24" max="24" width="4.609375" style="0" customWidth="1"/>
    <col min="25" max="25" width="1.60546875" style="0" customWidth="1"/>
    <col min="26" max="26" width="4.609375" style="0" customWidth="1"/>
    <col min="27" max="27" width="1.60546875" style="0" customWidth="1"/>
    <col min="28" max="28" width="3.609375" style="0" customWidth="1"/>
    <col min="29" max="29" width="1.60546875" style="0" customWidth="1"/>
    <col min="30" max="30" width="4.609375" style="0" customWidth="1"/>
    <col min="31" max="31" width="1.60546875" style="0" customWidth="1"/>
    <col min="32" max="32" width="4.609375" style="0" customWidth="1"/>
    <col min="33" max="33" width="1.60546875" style="0" customWidth="1"/>
    <col min="34" max="34" width="4.609375" style="0" customWidth="1"/>
    <col min="35" max="35" width="1.60546875" style="0" customWidth="1"/>
    <col min="36" max="36" width="4.609375" style="0" customWidth="1"/>
    <col min="37" max="37" width="1.60546875" style="0" customWidth="1"/>
    <col min="38" max="38" width="4.609375" style="0" customWidth="1"/>
    <col min="39" max="39" width="1.60546875" style="0" customWidth="1"/>
    <col min="40" max="40" width="4.609375" style="0" customWidth="1"/>
    <col min="41" max="41" width="1.60546875" style="0" customWidth="1"/>
    <col min="42" max="42" width="4.609375" style="0" customWidth="1"/>
    <col min="43" max="43" width="1.60546875" style="0" customWidth="1"/>
    <col min="44" max="44" width="4.609375" style="0" customWidth="1"/>
    <col min="45" max="45" width="1.60546875" style="0" customWidth="1"/>
    <col min="46" max="46" width="3.609375" style="0" customWidth="1"/>
    <col min="47" max="48" width="1.60546875" style="0" customWidth="1"/>
    <col min="49" max="49" width="9.609375" style="0" customWidth="1"/>
    <col min="50" max="50" width="1.60546875" style="0" customWidth="1"/>
    <col min="51" max="51" width="9.609375" style="0" customWidth="1"/>
    <col min="52" max="52" width="1.60546875" style="0" customWidth="1"/>
    <col min="53" max="53" width="9.609375" style="0" customWidth="1"/>
    <col min="54" max="54" width="1.60546875" style="0" customWidth="1"/>
  </cols>
  <sheetData>
    <row r="5" ht="21" thickBot="1"/>
    <row r="6" spans="1:18" ht="17.25" customHeight="1">
      <c r="A6" s="65" t="s">
        <v>43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7"/>
    </row>
    <row r="7" spans="1:19" ht="13.5" customHeight="1">
      <c r="A7" s="68" t="s">
        <v>51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70"/>
      <c r="S7" s="3"/>
    </row>
    <row r="8" spans="1:19" ht="13.5" customHeight="1" thickBot="1">
      <c r="A8" s="71" t="s">
        <v>50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3"/>
      <c r="S8" s="3"/>
    </row>
    <row r="9" spans="2:19" ht="6" customHeight="1" thickBot="1">
      <c r="B9" s="13"/>
      <c r="C9" s="1"/>
      <c r="D9" s="1"/>
      <c r="E9" s="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</row>
    <row r="10" spans="1:24" ht="20.25" customHeight="1" thickBot="1">
      <c r="A10" s="83">
        <v>2012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5"/>
      <c r="S10" s="3"/>
      <c r="T10" s="25"/>
      <c r="U10" s="25"/>
      <c r="V10" s="25"/>
      <c r="W10" s="25"/>
      <c r="X10" s="25"/>
    </row>
    <row r="11" spans="2:24" ht="6" customHeight="1" thickBot="1">
      <c r="B11" s="10"/>
      <c r="C11" s="10"/>
      <c r="D11" s="8"/>
      <c r="E11" s="8"/>
      <c r="F11" s="8"/>
      <c r="G11" s="8"/>
      <c r="H11" s="9"/>
      <c r="I11" s="9"/>
      <c r="J11" s="9"/>
      <c r="K11" s="8"/>
      <c r="L11" s="8"/>
      <c r="M11" s="8"/>
      <c r="N11" s="8"/>
      <c r="O11" s="8"/>
      <c r="P11" s="8"/>
      <c r="Q11" s="8"/>
      <c r="R11" s="8"/>
      <c r="S11" s="3"/>
      <c r="T11" s="25"/>
      <c r="U11" s="25"/>
      <c r="V11" s="25"/>
      <c r="W11" s="25"/>
      <c r="X11" s="25"/>
    </row>
    <row r="12" spans="1:24" ht="16.5" customHeight="1">
      <c r="A12" s="56" t="s">
        <v>52</v>
      </c>
      <c r="B12" s="59" t="s">
        <v>47</v>
      </c>
      <c r="C12" s="52" t="s">
        <v>44</v>
      </c>
      <c r="D12" s="43" t="s">
        <v>40</v>
      </c>
      <c r="E12" s="44"/>
      <c r="F12" s="44"/>
      <c r="G12" s="44"/>
      <c r="H12" s="51"/>
      <c r="I12" s="48" t="s">
        <v>41</v>
      </c>
      <c r="J12" s="49"/>
      <c r="K12" s="49"/>
      <c r="L12" s="49"/>
      <c r="M12" s="50"/>
      <c r="N12" s="43" t="s">
        <v>42</v>
      </c>
      <c r="O12" s="44"/>
      <c r="P12" s="44"/>
      <c r="Q12" s="44"/>
      <c r="R12" s="45"/>
      <c r="S12" s="3"/>
      <c r="T12" s="25"/>
      <c r="U12" s="25"/>
      <c r="V12" s="25"/>
      <c r="W12" s="25"/>
      <c r="X12" s="25"/>
    </row>
    <row r="13" spans="1:24" ht="16.5" customHeight="1">
      <c r="A13" s="57"/>
      <c r="B13" s="60"/>
      <c r="C13" s="53"/>
      <c r="D13" s="41" t="s">
        <v>45</v>
      </c>
      <c r="E13" s="46" t="s">
        <v>48</v>
      </c>
      <c r="F13" s="47"/>
      <c r="G13" s="46" t="s">
        <v>49</v>
      </c>
      <c r="H13" s="47"/>
      <c r="I13" s="41" t="s">
        <v>45</v>
      </c>
      <c r="J13" s="46" t="s">
        <v>48</v>
      </c>
      <c r="K13" s="47"/>
      <c r="L13" s="46" t="s">
        <v>49</v>
      </c>
      <c r="M13" s="47"/>
      <c r="N13" s="41" t="s">
        <v>45</v>
      </c>
      <c r="O13" s="46" t="s">
        <v>48</v>
      </c>
      <c r="P13" s="47"/>
      <c r="Q13" s="46" t="s">
        <v>49</v>
      </c>
      <c r="R13" s="55"/>
      <c r="S13" s="3"/>
      <c r="T13" s="25"/>
      <c r="U13" s="25"/>
      <c r="V13" s="25"/>
      <c r="W13" s="25"/>
      <c r="X13" s="25"/>
    </row>
    <row r="14" spans="1:24" ht="15" customHeight="1">
      <c r="A14" s="58"/>
      <c r="B14" s="61"/>
      <c r="C14" s="54"/>
      <c r="D14" s="42"/>
      <c r="E14" s="27" t="s">
        <v>35</v>
      </c>
      <c r="F14" s="28" t="s">
        <v>36</v>
      </c>
      <c r="G14" s="39" t="s">
        <v>35</v>
      </c>
      <c r="H14" s="39" t="s">
        <v>36</v>
      </c>
      <c r="I14" s="42"/>
      <c r="J14" s="39" t="s">
        <v>35</v>
      </c>
      <c r="K14" s="39" t="s">
        <v>36</v>
      </c>
      <c r="L14" s="39" t="s">
        <v>35</v>
      </c>
      <c r="M14" s="39" t="s">
        <v>36</v>
      </c>
      <c r="N14" s="42"/>
      <c r="O14" s="39" t="s">
        <v>35</v>
      </c>
      <c r="P14" s="39" t="s">
        <v>36</v>
      </c>
      <c r="Q14" s="39" t="s">
        <v>35</v>
      </c>
      <c r="R14" s="40" t="s">
        <v>36</v>
      </c>
      <c r="S14" s="3"/>
      <c r="T14" s="25"/>
      <c r="U14" s="25"/>
      <c r="V14" s="25"/>
      <c r="W14" s="25"/>
      <c r="X14" s="25"/>
    </row>
    <row r="15" spans="1:24" ht="6.75" customHeight="1">
      <c r="A15" s="79"/>
      <c r="B15" s="6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  <c r="S15" s="3"/>
      <c r="T15" s="25"/>
      <c r="U15" s="25"/>
      <c r="V15" s="25"/>
      <c r="W15" s="25"/>
      <c r="X15" s="25"/>
    </row>
    <row r="16" spans="1:24" ht="13.5" customHeight="1">
      <c r="A16" s="81">
        <v>41</v>
      </c>
      <c r="B16" s="63" t="s">
        <v>0</v>
      </c>
      <c r="C16" s="17">
        <f>D16+I16+N16</f>
        <v>20476</v>
      </c>
      <c r="D16" s="17">
        <f>E16+F16+G16+H16</f>
        <v>2663</v>
      </c>
      <c r="E16" s="15">
        <f>SUM(E18:E54)</f>
        <v>1148</v>
      </c>
      <c r="F16" s="36">
        <f aca="true" t="shared" si="0" ref="F16:R16">SUM(F18:F54)</f>
        <v>1500</v>
      </c>
      <c r="G16" s="15">
        <f t="shared" si="0"/>
        <v>15</v>
      </c>
      <c r="H16" s="15">
        <f t="shared" si="0"/>
        <v>0</v>
      </c>
      <c r="I16" s="14">
        <f>SUM(I18:I54)</f>
        <v>10848</v>
      </c>
      <c r="J16" s="36">
        <f>SUM(J18:J54)</f>
        <v>4844</v>
      </c>
      <c r="K16" s="36">
        <f t="shared" si="0"/>
        <v>3925</v>
      </c>
      <c r="L16" s="15">
        <f t="shared" si="0"/>
        <v>2068</v>
      </c>
      <c r="M16" s="15">
        <f t="shared" si="0"/>
        <v>11</v>
      </c>
      <c r="N16" s="14">
        <f>SUM(N18:N54)</f>
        <v>6965</v>
      </c>
      <c r="O16" s="15">
        <f>SUM(O18:O54)</f>
        <v>3357</v>
      </c>
      <c r="P16" s="15">
        <f t="shared" si="0"/>
        <v>1303</v>
      </c>
      <c r="Q16" s="15">
        <f t="shared" si="0"/>
        <v>2291</v>
      </c>
      <c r="R16" s="16">
        <f t="shared" si="0"/>
        <v>14</v>
      </c>
      <c r="S16" s="3"/>
      <c r="T16" s="24"/>
      <c r="U16" s="25"/>
      <c r="V16" s="25"/>
      <c r="W16" s="25"/>
      <c r="X16" s="25"/>
    </row>
    <row r="17" spans="1:24" ht="8.25" customHeight="1">
      <c r="A17" s="79"/>
      <c r="B17" s="62"/>
      <c r="C17" s="18"/>
      <c r="D17" s="18"/>
      <c r="E17" s="19"/>
      <c r="F17" s="19"/>
      <c r="G17" s="19"/>
      <c r="H17" s="19"/>
      <c r="I17" s="20"/>
      <c r="J17" s="19"/>
      <c r="K17" s="19"/>
      <c r="L17" s="19"/>
      <c r="M17" s="19"/>
      <c r="N17" s="20"/>
      <c r="O17" s="19"/>
      <c r="P17" s="19"/>
      <c r="Q17" s="19"/>
      <c r="R17" s="21"/>
      <c r="T17" s="25"/>
      <c r="U17" s="32"/>
      <c r="V17" s="25"/>
      <c r="W17" s="25"/>
      <c r="X17" s="25"/>
    </row>
    <row r="18" spans="1:24" ht="13.5" customHeight="1">
      <c r="A18" s="82">
        <v>41001</v>
      </c>
      <c r="B18" s="64" t="s">
        <v>1</v>
      </c>
      <c r="C18" s="22">
        <f>D18+I18+N18</f>
        <v>5426</v>
      </c>
      <c r="D18" s="22">
        <f aca="true" t="shared" si="1" ref="D18:D54">E18+F18+G18+H18</f>
        <v>267</v>
      </c>
      <c r="E18" s="29">
        <f>56+179</f>
        <v>235</v>
      </c>
      <c r="F18" s="29">
        <v>32</v>
      </c>
      <c r="G18" s="30">
        <v>0</v>
      </c>
      <c r="H18" s="29">
        <v>0</v>
      </c>
      <c r="I18" s="22">
        <f>J18+K18+L18+M18</f>
        <v>2802</v>
      </c>
      <c r="J18" s="29">
        <f>741+1050</f>
        <v>1791</v>
      </c>
      <c r="K18" s="29">
        <f>199+129</f>
        <v>328</v>
      </c>
      <c r="L18" s="29">
        <f>188+495</f>
        <v>683</v>
      </c>
      <c r="M18" s="29">
        <v>0</v>
      </c>
      <c r="N18" s="22">
        <f>O18+P18+Q18+R18</f>
        <v>2357</v>
      </c>
      <c r="O18" s="29">
        <f>414+891</f>
        <v>1305</v>
      </c>
      <c r="P18" s="29">
        <f>71+54</f>
        <v>125</v>
      </c>
      <c r="Q18" s="29">
        <f>554+373</f>
        <v>927</v>
      </c>
      <c r="R18" s="23">
        <v>0</v>
      </c>
      <c r="S18" s="3"/>
      <c r="T18" s="25"/>
      <c r="U18" s="32"/>
      <c r="V18" s="25"/>
      <c r="W18" s="25"/>
      <c r="X18" s="25"/>
    </row>
    <row r="19" spans="1:24" ht="13.5" customHeight="1">
      <c r="A19" s="82">
        <v>41006</v>
      </c>
      <c r="B19" s="64" t="s">
        <v>25</v>
      </c>
      <c r="C19" s="22">
        <f aca="true" t="shared" si="2" ref="C19:C54">D19+I19+N19</f>
        <v>1069</v>
      </c>
      <c r="D19" s="22">
        <f t="shared" si="1"/>
        <v>237</v>
      </c>
      <c r="E19" s="29">
        <v>25</v>
      </c>
      <c r="F19" s="29">
        <f>64+137</f>
        <v>201</v>
      </c>
      <c r="G19" s="30">
        <v>11</v>
      </c>
      <c r="H19" s="29">
        <v>0</v>
      </c>
      <c r="I19" s="22">
        <f aca="true" t="shared" si="3" ref="I19:I54">J19+K19+L19+M19</f>
        <v>632</v>
      </c>
      <c r="J19" s="29">
        <f>49+25</f>
        <v>74</v>
      </c>
      <c r="K19" s="29">
        <f>298+118</f>
        <v>416</v>
      </c>
      <c r="L19" s="29">
        <f>43+88</f>
        <v>131</v>
      </c>
      <c r="M19" s="29">
        <v>11</v>
      </c>
      <c r="N19" s="22">
        <f aca="true" t="shared" si="4" ref="N19:N54">O19+P19+Q19+R19</f>
        <v>200</v>
      </c>
      <c r="O19" s="29">
        <v>0</v>
      </c>
      <c r="P19" s="29">
        <v>81</v>
      </c>
      <c r="Q19" s="31">
        <f>34+71</f>
        <v>105</v>
      </c>
      <c r="R19" s="26">
        <v>14</v>
      </c>
      <c r="S19" s="7"/>
      <c r="T19" s="25"/>
      <c r="U19" s="32"/>
      <c r="V19" s="25"/>
      <c r="W19" s="25"/>
      <c r="X19" s="25"/>
    </row>
    <row r="20" spans="1:24" ht="13.5" customHeight="1">
      <c r="A20" s="82">
        <v>41013</v>
      </c>
      <c r="B20" s="64" t="s">
        <v>37</v>
      </c>
      <c r="C20" s="22">
        <f t="shared" si="2"/>
        <v>216</v>
      </c>
      <c r="D20" s="22">
        <f t="shared" si="1"/>
        <v>15</v>
      </c>
      <c r="E20" s="29">
        <v>15</v>
      </c>
      <c r="F20" s="29">
        <v>0</v>
      </c>
      <c r="G20" s="30">
        <v>0</v>
      </c>
      <c r="H20" s="29">
        <v>0</v>
      </c>
      <c r="I20" s="22">
        <f t="shared" si="3"/>
        <v>123</v>
      </c>
      <c r="J20" s="29">
        <f>51+72</f>
        <v>123</v>
      </c>
      <c r="K20" s="29">
        <v>0</v>
      </c>
      <c r="L20" s="29">
        <v>0</v>
      </c>
      <c r="M20" s="29">
        <v>0</v>
      </c>
      <c r="N20" s="22">
        <f t="shared" si="4"/>
        <v>78</v>
      </c>
      <c r="O20" s="29">
        <v>78</v>
      </c>
      <c r="P20" s="29">
        <v>0</v>
      </c>
      <c r="Q20" s="29">
        <v>0</v>
      </c>
      <c r="R20" s="34">
        <v>0</v>
      </c>
      <c r="S20" s="7"/>
      <c r="T20" s="25"/>
      <c r="U20" s="32"/>
      <c r="V20" s="25"/>
      <c r="W20" s="25"/>
      <c r="X20" s="25"/>
    </row>
    <row r="21" spans="1:24" ht="13.5" customHeight="1">
      <c r="A21" s="82">
        <v>41016</v>
      </c>
      <c r="B21" s="64" t="s">
        <v>2</v>
      </c>
      <c r="C21" s="22">
        <f t="shared" si="2"/>
        <v>474</v>
      </c>
      <c r="D21" s="22">
        <f t="shared" si="1"/>
        <v>12</v>
      </c>
      <c r="E21" s="29">
        <v>12</v>
      </c>
      <c r="F21" s="29">
        <v>0</v>
      </c>
      <c r="G21" s="30">
        <v>0</v>
      </c>
      <c r="H21" s="29">
        <v>0</v>
      </c>
      <c r="I21" s="22">
        <f t="shared" si="3"/>
        <v>300</v>
      </c>
      <c r="J21" s="29">
        <f>68+131</f>
        <v>199</v>
      </c>
      <c r="K21" s="29">
        <f>69+32</f>
        <v>101</v>
      </c>
      <c r="L21" s="29">
        <v>0</v>
      </c>
      <c r="M21" s="29">
        <v>0</v>
      </c>
      <c r="N21" s="22">
        <f t="shared" si="4"/>
        <v>162</v>
      </c>
      <c r="O21" s="29">
        <v>111</v>
      </c>
      <c r="P21" s="29">
        <v>51</v>
      </c>
      <c r="Q21" s="29">
        <v>0</v>
      </c>
      <c r="R21" s="34">
        <v>0</v>
      </c>
      <c r="S21" s="7"/>
      <c r="T21" s="25"/>
      <c r="U21" s="32"/>
      <c r="V21" s="25"/>
      <c r="W21" s="25"/>
      <c r="X21" s="25"/>
    </row>
    <row r="22" spans="1:24" ht="13.5" customHeight="1">
      <c r="A22" s="82">
        <v>41020</v>
      </c>
      <c r="B22" s="64" t="s">
        <v>3</v>
      </c>
      <c r="C22" s="22">
        <f t="shared" si="2"/>
        <v>460</v>
      </c>
      <c r="D22" s="22">
        <f t="shared" si="1"/>
        <v>79</v>
      </c>
      <c r="E22" s="29">
        <f>18+24</f>
        <v>42</v>
      </c>
      <c r="F22" s="29">
        <v>37</v>
      </c>
      <c r="G22" s="30">
        <v>0</v>
      </c>
      <c r="H22" s="29">
        <v>0</v>
      </c>
      <c r="I22" s="22">
        <f t="shared" si="3"/>
        <v>181</v>
      </c>
      <c r="J22" s="29">
        <v>104</v>
      </c>
      <c r="K22" s="29">
        <f>51+26</f>
        <v>77</v>
      </c>
      <c r="L22" s="29">
        <v>0</v>
      </c>
      <c r="M22" s="29">
        <v>0</v>
      </c>
      <c r="N22" s="22">
        <f t="shared" si="4"/>
        <v>200</v>
      </c>
      <c r="O22" s="29">
        <f>18+56</f>
        <v>74</v>
      </c>
      <c r="P22" s="29">
        <v>126</v>
      </c>
      <c r="Q22" s="29">
        <v>0</v>
      </c>
      <c r="R22" s="34">
        <v>0</v>
      </c>
      <c r="S22" s="7"/>
      <c r="T22" s="25"/>
      <c r="U22" s="32"/>
      <c r="V22" s="25"/>
      <c r="W22" s="25"/>
      <c r="X22" s="25"/>
    </row>
    <row r="23" spans="1:24" ht="13.5" customHeight="1">
      <c r="A23" s="82">
        <v>41026</v>
      </c>
      <c r="B23" s="64" t="s">
        <v>18</v>
      </c>
      <c r="C23" s="22">
        <f t="shared" si="2"/>
        <v>0</v>
      </c>
      <c r="D23" s="22">
        <f t="shared" si="1"/>
        <v>0</v>
      </c>
      <c r="E23" s="29">
        <v>0</v>
      </c>
      <c r="F23" s="29">
        <v>0</v>
      </c>
      <c r="G23" s="30">
        <v>0</v>
      </c>
      <c r="H23" s="29">
        <v>0</v>
      </c>
      <c r="I23" s="22">
        <f t="shared" si="3"/>
        <v>0</v>
      </c>
      <c r="J23" s="29">
        <v>0</v>
      </c>
      <c r="K23" s="29">
        <v>0</v>
      </c>
      <c r="L23" s="29">
        <v>0</v>
      </c>
      <c r="M23" s="29">
        <v>0</v>
      </c>
      <c r="N23" s="22">
        <f t="shared" si="4"/>
        <v>0</v>
      </c>
      <c r="O23" s="29">
        <v>0</v>
      </c>
      <c r="P23" s="29">
        <v>0</v>
      </c>
      <c r="Q23" s="29">
        <v>0</v>
      </c>
      <c r="R23" s="34">
        <v>0</v>
      </c>
      <c r="S23" s="7"/>
      <c r="T23" s="25"/>
      <c r="U23" s="32"/>
      <c r="V23" s="25"/>
      <c r="W23" s="25"/>
      <c r="X23" s="25"/>
    </row>
    <row r="24" spans="1:24" ht="13.5" customHeight="1">
      <c r="A24" s="82">
        <v>41078</v>
      </c>
      <c r="B24" s="64" t="s">
        <v>4</v>
      </c>
      <c r="C24" s="22">
        <f t="shared" si="2"/>
        <v>41</v>
      </c>
      <c r="D24" s="22">
        <f t="shared" si="1"/>
        <v>0</v>
      </c>
      <c r="E24" s="29">
        <v>0</v>
      </c>
      <c r="F24" s="29">
        <v>0</v>
      </c>
      <c r="G24" s="30">
        <v>0</v>
      </c>
      <c r="H24" s="29">
        <v>0</v>
      </c>
      <c r="I24" s="22">
        <f t="shared" si="3"/>
        <v>41</v>
      </c>
      <c r="J24" s="29">
        <v>17</v>
      </c>
      <c r="K24" s="29">
        <v>24</v>
      </c>
      <c r="L24" s="29">
        <v>0</v>
      </c>
      <c r="M24" s="29">
        <v>0</v>
      </c>
      <c r="N24" s="22">
        <f t="shared" si="4"/>
        <v>0</v>
      </c>
      <c r="O24" s="29">
        <v>0</v>
      </c>
      <c r="P24" s="29">
        <v>0</v>
      </c>
      <c r="Q24" s="29">
        <v>0</v>
      </c>
      <c r="R24" s="34">
        <v>0</v>
      </c>
      <c r="S24" s="7"/>
      <c r="T24" s="25"/>
      <c r="U24" s="32"/>
      <c r="V24" s="25"/>
      <c r="W24" s="25"/>
      <c r="X24" s="25"/>
    </row>
    <row r="25" spans="1:24" ht="13.5" customHeight="1">
      <c r="A25" s="82">
        <v>41132</v>
      </c>
      <c r="B25" s="64" t="s">
        <v>5</v>
      </c>
      <c r="C25" s="22">
        <f t="shared" si="2"/>
        <v>548</v>
      </c>
      <c r="D25" s="22">
        <f t="shared" si="1"/>
        <v>88</v>
      </c>
      <c r="E25" s="29">
        <f>54+34</f>
        <v>88</v>
      </c>
      <c r="F25" s="29">
        <v>0</v>
      </c>
      <c r="G25" s="30">
        <v>0</v>
      </c>
      <c r="H25" s="29">
        <v>0</v>
      </c>
      <c r="I25" s="22">
        <f t="shared" si="3"/>
        <v>256</v>
      </c>
      <c r="J25" s="29">
        <f>25+37</f>
        <v>62</v>
      </c>
      <c r="K25" s="29">
        <v>0</v>
      </c>
      <c r="L25" s="29">
        <f>64+130</f>
        <v>194</v>
      </c>
      <c r="M25" s="29">
        <v>0</v>
      </c>
      <c r="N25" s="22">
        <f t="shared" si="4"/>
        <v>204</v>
      </c>
      <c r="O25" s="29">
        <v>46</v>
      </c>
      <c r="P25" s="29">
        <v>0</v>
      </c>
      <c r="Q25" s="31">
        <v>158</v>
      </c>
      <c r="R25" s="34">
        <v>0</v>
      </c>
      <c r="S25" s="7"/>
      <c r="T25" s="25"/>
      <c r="U25" s="25"/>
      <c r="V25" s="25"/>
      <c r="W25" s="25"/>
      <c r="X25" s="25"/>
    </row>
    <row r="26" spans="1:24" ht="13.5" customHeight="1">
      <c r="A26" s="82">
        <v>41206</v>
      </c>
      <c r="B26" s="64" t="s">
        <v>6</v>
      </c>
      <c r="C26" s="22">
        <f t="shared" si="2"/>
        <v>150</v>
      </c>
      <c r="D26" s="22">
        <f t="shared" si="1"/>
        <v>20</v>
      </c>
      <c r="E26" s="29">
        <v>0</v>
      </c>
      <c r="F26" s="29">
        <v>20</v>
      </c>
      <c r="G26" s="30">
        <v>0</v>
      </c>
      <c r="H26" s="29">
        <v>0</v>
      </c>
      <c r="I26" s="22">
        <f t="shared" si="3"/>
        <v>100</v>
      </c>
      <c r="J26" s="29">
        <f>23+17</f>
        <v>40</v>
      </c>
      <c r="K26" s="29">
        <f>46+14</f>
        <v>60</v>
      </c>
      <c r="L26" s="29">
        <v>0</v>
      </c>
      <c r="M26" s="29">
        <v>0</v>
      </c>
      <c r="N26" s="22">
        <f t="shared" si="4"/>
        <v>30</v>
      </c>
      <c r="O26" s="29">
        <v>30</v>
      </c>
      <c r="P26" s="29">
        <v>0</v>
      </c>
      <c r="Q26" s="29">
        <v>0</v>
      </c>
      <c r="R26" s="34">
        <v>0</v>
      </c>
      <c r="S26" s="7"/>
      <c r="T26" s="25"/>
      <c r="U26" s="25"/>
      <c r="V26" s="25"/>
      <c r="W26" s="25"/>
      <c r="X26" s="25"/>
    </row>
    <row r="27" spans="1:24" ht="13.5" customHeight="1">
      <c r="A27" s="82">
        <v>41244</v>
      </c>
      <c r="B27" s="64" t="s">
        <v>26</v>
      </c>
      <c r="C27" s="22">
        <f t="shared" si="2"/>
        <v>0</v>
      </c>
      <c r="D27" s="22">
        <f t="shared" si="1"/>
        <v>0</v>
      </c>
      <c r="E27" s="29">
        <v>0</v>
      </c>
      <c r="F27" s="29">
        <v>0</v>
      </c>
      <c r="G27" s="30">
        <v>0</v>
      </c>
      <c r="H27" s="29">
        <v>0</v>
      </c>
      <c r="I27" s="22">
        <f t="shared" si="3"/>
        <v>0</v>
      </c>
      <c r="J27" s="29">
        <v>0</v>
      </c>
      <c r="K27" s="29">
        <v>0</v>
      </c>
      <c r="L27" s="29">
        <v>0</v>
      </c>
      <c r="M27" s="29">
        <v>0</v>
      </c>
      <c r="N27" s="22">
        <f t="shared" si="4"/>
        <v>0</v>
      </c>
      <c r="O27" s="29">
        <v>0</v>
      </c>
      <c r="P27" s="29">
        <v>0</v>
      </c>
      <c r="Q27" s="29">
        <v>0</v>
      </c>
      <c r="R27" s="34">
        <v>0</v>
      </c>
      <c r="S27" s="7"/>
      <c r="T27" s="25"/>
      <c r="U27" s="25"/>
      <c r="V27" s="25"/>
      <c r="W27" s="25"/>
      <c r="X27" s="25"/>
    </row>
    <row r="28" spans="1:24" ht="13.5" customHeight="1">
      <c r="A28" s="82">
        <v>41298</v>
      </c>
      <c r="B28" s="64" t="s">
        <v>19</v>
      </c>
      <c r="C28" s="22">
        <f t="shared" si="2"/>
        <v>1304</v>
      </c>
      <c r="D28" s="22">
        <f t="shared" si="1"/>
        <v>124</v>
      </c>
      <c r="E28" s="29">
        <f>84+38</f>
        <v>122</v>
      </c>
      <c r="F28" s="29">
        <v>0</v>
      </c>
      <c r="G28" s="30">
        <v>2</v>
      </c>
      <c r="H28" s="29">
        <v>0</v>
      </c>
      <c r="I28" s="22">
        <f t="shared" si="3"/>
        <v>783</v>
      </c>
      <c r="J28" s="29">
        <f>153+213</f>
        <v>366</v>
      </c>
      <c r="K28" s="29">
        <f>125+180</f>
        <v>305</v>
      </c>
      <c r="L28" s="29">
        <f>41+71</f>
        <v>112</v>
      </c>
      <c r="M28" s="29">
        <v>0</v>
      </c>
      <c r="N28" s="22">
        <f t="shared" si="4"/>
        <v>397</v>
      </c>
      <c r="O28" s="29">
        <f>4+162</f>
        <v>166</v>
      </c>
      <c r="P28" s="29">
        <f>31+69</f>
        <v>100</v>
      </c>
      <c r="Q28" s="31">
        <f>70+61</f>
        <v>131</v>
      </c>
      <c r="R28" s="34">
        <v>0</v>
      </c>
      <c r="S28" s="7"/>
      <c r="T28" s="25"/>
      <c r="U28" s="25"/>
      <c r="V28" s="25"/>
      <c r="W28" s="25"/>
      <c r="X28" s="25"/>
    </row>
    <row r="29" spans="1:24" ht="13.5" customHeight="1">
      <c r="A29" s="82">
        <v>41306</v>
      </c>
      <c r="B29" s="64" t="s">
        <v>20</v>
      </c>
      <c r="C29" s="22">
        <f t="shared" si="2"/>
        <v>348</v>
      </c>
      <c r="D29" s="22">
        <f t="shared" si="1"/>
        <v>0</v>
      </c>
      <c r="E29" s="29">
        <v>0</v>
      </c>
      <c r="F29" s="29">
        <v>0</v>
      </c>
      <c r="G29" s="30">
        <v>0</v>
      </c>
      <c r="H29" s="29">
        <v>0</v>
      </c>
      <c r="I29" s="22">
        <f t="shared" si="3"/>
        <v>207</v>
      </c>
      <c r="J29" s="29">
        <f>55+75</f>
        <v>130</v>
      </c>
      <c r="K29" s="29">
        <f>35+42</f>
        <v>77</v>
      </c>
      <c r="L29" s="29">
        <v>0</v>
      </c>
      <c r="M29" s="29">
        <v>0</v>
      </c>
      <c r="N29" s="22">
        <f t="shared" si="4"/>
        <v>141</v>
      </c>
      <c r="O29" s="29">
        <v>105</v>
      </c>
      <c r="P29" s="29">
        <v>36</v>
      </c>
      <c r="Q29" s="29">
        <v>0</v>
      </c>
      <c r="R29" s="34">
        <v>0</v>
      </c>
      <c r="S29" s="7"/>
      <c r="T29" s="25"/>
      <c r="U29" s="25"/>
      <c r="V29" s="25"/>
      <c r="W29" s="25"/>
      <c r="X29" s="25"/>
    </row>
    <row r="30" spans="1:24" ht="13.5" customHeight="1">
      <c r="A30" s="82">
        <v>41319</v>
      </c>
      <c r="B30" s="64" t="s">
        <v>21</v>
      </c>
      <c r="C30" s="22">
        <f t="shared" si="2"/>
        <v>555</v>
      </c>
      <c r="D30" s="22">
        <f t="shared" si="1"/>
        <v>79</v>
      </c>
      <c r="E30" s="29">
        <v>0</v>
      </c>
      <c r="F30" s="29">
        <f>60+19</f>
        <v>79</v>
      </c>
      <c r="G30" s="30">
        <v>0</v>
      </c>
      <c r="H30" s="29">
        <v>0</v>
      </c>
      <c r="I30" s="22">
        <f t="shared" si="3"/>
        <v>369</v>
      </c>
      <c r="J30" s="29">
        <f>22+45</f>
        <v>67</v>
      </c>
      <c r="K30" s="29">
        <f>166+136</f>
        <v>302</v>
      </c>
      <c r="L30" s="29">
        <v>0</v>
      </c>
      <c r="M30" s="29">
        <v>0</v>
      </c>
      <c r="N30" s="22">
        <f t="shared" si="4"/>
        <v>107</v>
      </c>
      <c r="O30" s="29">
        <v>77</v>
      </c>
      <c r="P30" s="29">
        <v>30</v>
      </c>
      <c r="Q30" s="29">
        <v>0</v>
      </c>
      <c r="R30" s="34">
        <v>0</v>
      </c>
      <c r="S30" s="7"/>
      <c r="T30" s="25"/>
      <c r="U30" s="25"/>
      <c r="V30" s="25"/>
      <c r="W30" s="25"/>
      <c r="X30" s="25"/>
    </row>
    <row r="31" spans="1:20" ht="13.5" customHeight="1">
      <c r="A31" s="82">
        <v>41349</v>
      </c>
      <c r="B31" s="64" t="s">
        <v>7</v>
      </c>
      <c r="C31" s="22">
        <f t="shared" si="2"/>
        <v>148</v>
      </c>
      <c r="D31" s="22">
        <f t="shared" si="1"/>
        <v>21</v>
      </c>
      <c r="E31" s="29">
        <v>21</v>
      </c>
      <c r="F31" s="29">
        <v>0</v>
      </c>
      <c r="G31" s="30">
        <v>0</v>
      </c>
      <c r="H31" s="29">
        <v>0</v>
      </c>
      <c r="I31" s="22">
        <f t="shared" si="3"/>
        <v>75</v>
      </c>
      <c r="J31" s="29">
        <f>32+43</f>
        <v>75</v>
      </c>
      <c r="K31" s="29">
        <v>0</v>
      </c>
      <c r="L31" s="29">
        <v>0</v>
      </c>
      <c r="M31" s="29">
        <v>0</v>
      </c>
      <c r="N31" s="22">
        <f t="shared" si="4"/>
        <v>52</v>
      </c>
      <c r="O31" s="29">
        <v>52</v>
      </c>
      <c r="P31" s="29">
        <v>0</v>
      </c>
      <c r="Q31" s="29">
        <v>0</v>
      </c>
      <c r="R31" s="34">
        <v>0</v>
      </c>
      <c r="S31" s="7"/>
      <c r="T31" s="25"/>
    </row>
    <row r="32" spans="1:20" ht="13.5" customHeight="1">
      <c r="A32" s="82">
        <v>41357</v>
      </c>
      <c r="B32" s="64" t="s">
        <v>8</v>
      </c>
      <c r="C32" s="22">
        <f t="shared" si="2"/>
        <v>138</v>
      </c>
      <c r="D32" s="22">
        <f t="shared" si="1"/>
        <v>0</v>
      </c>
      <c r="E32" s="29">
        <v>0</v>
      </c>
      <c r="F32" s="29">
        <v>0</v>
      </c>
      <c r="G32" s="30">
        <v>0</v>
      </c>
      <c r="H32" s="29">
        <v>0</v>
      </c>
      <c r="I32" s="22">
        <f t="shared" si="3"/>
        <v>82</v>
      </c>
      <c r="J32" s="29">
        <f>40+15</f>
        <v>55</v>
      </c>
      <c r="K32" s="29">
        <v>27</v>
      </c>
      <c r="L32" s="29">
        <v>0</v>
      </c>
      <c r="M32" s="29">
        <v>0</v>
      </c>
      <c r="N32" s="22">
        <f t="shared" si="4"/>
        <v>56</v>
      </c>
      <c r="O32" s="29">
        <v>39</v>
      </c>
      <c r="P32" s="29">
        <v>17</v>
      </c>
      <c r="Q32" s="29">
        <v>0</v>
      </c>
      <c r="R32" s="34">
        <v>0</v>
      </c>
      <c r="S32" s="7"/>
      <c r="T32" s="25"/>
    </row>
    <row r="33" spans="1:20" ht="13.5" customHeight="1">
      <c r="A33" s="82">
        <v>41359</v>
      </c>
      <c r="B33" s="64" t="s">
        <v>27</v>
      </c>
      <c r="C33" s="22">
        <f t="shared" si="2"/>
        <v>629</v>
      </c>
      <c r="D33" s="22">
        <f t="shared" si="1"/>
        <v>118</v>
      </c>
      <c r="E33" s="29">
        <v>0</v>
      </c>
      <c r="F33" s="29">
        <v>118</v>
      </c>
      <c r="G33" s="30">
        <v>0</v>
      </c>
      <c r="H33" s="29">
        <v>0</v>
      </c>
      <c r="I33" s="22">
        <f t="shared" si="3"/>
        <v>287</v>
      </c>
      <c r="J33" s="29">
        <v>17</v>
      </c>
      <c r="K33" s="29">
        <f>70+187</f>
        <v>257</v>
      </c>
      <c r="L33" s="29">
        <f>6+7</f>
        <v>13</v>
      </c>
      <c r="M33" s="29">
        <v>0</v>
      </c>
      <c r="N33" s="22">
        <f t="shared" si="4"/>
        <v>224</v>
      </c>
      <c r="O33" s="29">
        <v>0</v>
      </c>
      <c r="P33" s="29">
        <f>179+4</f>
        <v>183</v>
      </c>
      <c r="Q33" s="31">
        <v>41</v>
      </c>
      <c r="R33" s="34">
        <v>0</v>
      </c>
      <c r="S33" s="7"/>
      <c r="T33" s="25"/>
    </row>
    <row r="34" spans="1:20" ht="13.5" customHeight="1">
      <c r="A34" s="82">
        <v>41378</v>
      </c>
      <c r="B34" s="64" t="s">
        <v>15</v>
      </c>
      <c r="C34" s="22">
        <f t="shared" si="2"/>
        <v>485</v>
      </c>
      <c r="D34" s="22">
        <f t="shared" si="1"/>
        <v>19</v>
      </c>
      <c r="E34" s="29">
        <v>0</v>
      </c>
      <c r="F34" s="29">
        <v>19</v>
      </c>
      <c r="G34" s="30">
        <v>0</v>
      </c>
      <c r="H34" s="29">
        <v>0</v>
      </c>
      <c r="I34" s="22">
        <f t="shared" si="3"/>
        <v>317</v>
      </c>
      <c r="J34" s="29">
        <f>48+76</f>
        <v>124</v>
      </c>
      <c r="K34" s="29">
        <v>69</v>
      </c>
      <c r="L34" s="29">
        <f>34+90</f>
        <v>124</v>
      </c>
      <c r="M34" s="29">
        <v>0</v>
      </c>
      <c r="N34" s="22">
        <f t="shared" si="4"/>
        <v>149</v>
      </c>
      <c r="O34" s="29">
        <v>74</v>
      </c>
      <c r="P34" s="29">
        <v>0</v>
      </c>
      <c r="Q34" s="29">
        <f>54+21</f>
        <v>75</v>
      </c>
      <c r="R34" s="34">
        <v>0</v>
      </c>
      <c r="S34" s="7"/>
      <c r="T34" s="25"/>
    </row>
    <row r="35" spans="1:20" ht="13.5" customHeight="1">
      <c r="A35" s="82">
        <v>41396</v>
      </c>
      <c r="B35" s="64" t="s">
        <v>16</v>
      </c>
      <c r="C35" s="22">
        <f t="shared" si="2"/>
        <v>1211</v>
      </c>
      <c r="D35" s="22">
        <f t="shared" si="1"/>
        <v>414</v>
      </c>
      <c r="E35" s="29">
        <f>133+23</f>
        <v>156</v>
      </c>
      <c r="F35" s="29">
        <v>258</v>
      </c>
      <c r="G35" s="30">
        <v>0</v>
      </c>
      <c r="H35" s="29">
        <v>0</v>
      </c>
      <c r="I35" s="22">
        <f t="shared" si="3"/>
        <v>639</v>
      </c>
      <c r="J35" s="29">
        <f>46+71</f>
        <v>117</v>
      </c>
      <c r="K35" s="29">
        <f>255+215</f>
        <v>470</v>
      </c>
      <c r="L35" s="29">
        <f>17+35</f>
        <v>52</v>
      </c>
      <c r="M35" s="29">
        <v>0</v>
      </c>
      <c r="N35" s="22">
        <f t="shared" si="4"/>
        <v>158</v>
      </c>
      <c r="O35" s="29">
        <f>60+3</f>
        <v>63</v>
      </c>
      <c r="P35" s="29">
        <f>16+59</f>
        <v>75</v>
      </c>
      <c r="Q35" s="31">
        <v>20</v>
      </c>
      <c r="R35" s="34">
        <v>0</v>
      </c>
      <c r="S35" s="7"/>
      <c r="T35" s="25"/>
    </row>
    <row r="36" spans="1:20" ht="13.5" customHeight="1">
      <c r="A36" s="82">
        <v>41483</v>
      </c>
      <c r="B36" s="64" t="s">
        <v>38</v>
      </c>
      <c r="C36" s="22">
        <f t="shared" si="2"/>
        <v>137</v>
      </c>
      <c r="D36" s="22">
        <f t="shared" si="1"/>
        <v>0</v>
      </c>
      <c r="E36" s="29">
        <v>0</v>
      </c>
      <c r="F36" s="29">
        <v>0</v>
      </c>
      <c r="G36" s="30">
        <v>0</v>
      </c>
      <c r="H36" s="29">
        <v>0</v>
      </c>
      <c r="I36" s="22">
        <f t="shared" si="3"/>
        <v>96</v>
      </c>
      <c r="J36" s="29">
        <f>19+33</f>
        <v>52</v>
      </c>
      <c r="K36" s="29">
        <v>0</v>
      </c>
      <c r="L36" s="29">
        <f>8+36</f>
        <v>44</v>
      </c>
      <c r="M36" s="29">
        <v>0</v>
      </c>
      <c r="N36" s="22">
        <f t="shared" si="4"/>
        <v>41</v>
      </c>
      <c r="O36" s="29">
        <v>0</v>
      </c>
      <c r="P36" s="29">
        <v>0</v>
      </c>
      <c r="Q36" s="29">
        <f>10+31</f>
        <v>41</v>
      </c>
      <c r="R36" s="34">
        <v>0</v>
      </c>
      <c r="S36" s="7"/>
      <c r="T36" s="25"/>
    </row>
    <row r="37" spans="1:20" ht="13.5" customHeight="1">
      <c r="A37" s="82">
        <v>41503</v>
      </c>
      <c r="B37" s="64" t="s">
        <v>28</v>
      </c>
      <c r="C37" s="22">
        <f t="shared" si="2"/>
        <v>33</v>
      </c>
      <c r="D37" s="22">
        <f t="shared" si="1"/>
        <v>0</v>
      </c>
      <c r="E37" s="29">
        <v>0</v>
      </c>
      <c r="F37" s="29">
        <v>0</v>
      </c>
      <c r="G37" s="30">
        <v>0</v>
      </c>
      <c r="H37" s="29">
        <v>0</v>
      </c>
      <c r="I37" s="22">
        <f t="shared" si="3"/>
        <v>33</v>
      </c>
      <c r="J37" s="29">
        <v>33</v>
      </c>
      <c r="K37" s="29">
        <v>0</v>
      </c>
      <c r="L37" s="29">
        <v>0</v>
      </c>
      <c r="M37" s="29">
        <v>0</v>
      </c>
      <c r="N37" s="22">
        <f t="shared" si="4"/>
        <v>0</v>
      </c>
      <c r="O37" s="29">
        <v>0</v>
      </c>
      <c r="P37" s="29">
        <v>0</v>
      </c>
      <c r="Q37" s="31">
        <v>0</v>
      </c>
      <c r="R37" s="34">
        <v>0</v>
      </c>
      <c r="S37" s="7"/>
      <c r="T37" s="25"/>
    </row>
    <row r="38" spans="1:20" ht="13.5" customHeight="1">
      <c r="A38" s="82">
        <v>41518</v>
      </c>
      <c r="B38" s="64" t="s">
        <v>39</v>
      </c>
      <c r="C38" s="22">
        <f t="shared" si="2"/>
        <v>109</v>
      </c>
      <c r="D38" s="22">
        <f t="shared" si="1"/>
        <v>0</v>
      </c>
      <c r="E38" s="29">
        <v>0</v>
      </c>
      <c r="F38" s="29">
        <v>0</v>
      </c>
      <c r="G38" s="30">
        <v>0</v>
      </c>
      <c r="H38" s="29">
        <v>0</v>
      </c>
      <c r="I38" s="22">
        <f t="shared" si="3"/>
        <v>59</v>
      </c>
      <c r="J38" s="29">
        <f>20+39</f>
        <v>59</v>
      </c>
      <c r="K38" s="29">
        <v>0</v>
      </c>
      <c r="L38" s="29">
        <v>0</v>
      </c>
      <c r="M38" s="29">
        <v>0</v>
      </c>
      <c r="N38" s="22">
        <f t="shared" si="4"/>
        <v>50</v>
      </c>
      <c r="O38" s="29">
        <v>50</v>
      </c>
      <c r="P38" s="29">
        <v>0</v>
      </c>
      <c r="Q38" s="31">
        <v>0</v>
      </c>
      <c r="R38" s="34">
        <v>0</v>
      </c>
      <c r="S38" s="7"/>
      <c r="T38" s="25"/>
    </row>
    <row r="39" spans="1:20" ht="13.5" customHeight="1">
      <c r="A39" s="82">
        <v>41524</v>
      </c>
      <c r="B39" s="64" t="s">
        <v>9</v>
      </c>
      <c r="C39" s="22">
        <f t="shared" si="2"/>
        <v>276</v>
      </c>
      <c r="D39" s="22">
        <f t="shared" si="1"/>
        <v>0</v>
      </c>
      <c r="E39" s="29">
        <v>0</v>
      </c>
      <c r="F39" s="29">
        <v>0</v>
      </c>
      <c r="G39" s="30">
        <v>0</v>
      </c>
      <c r="H39" s="29">
        <v>0</v>
      </c>
      <c r="I39" s="22">
        <f t="shared" si="3"/>
        <v>118</v>
      </c>
      <c r="J39" s="29">
        <f>26+48</f>
        <v>74</v>
      </c>
      <c r="K39" s="29">
        <v>44</v>
      </c>
      <c r="L39" s="29">
        <v>0</v>
      </c>
      <c r="M39" s="29">
        <v>0</v>
      </c>
      <c r="N39" s="22">
        <f t="shared" si="4"/>
        <v>158</v>
      </c>
      <c r="O39" s="29">
        <v>69</v>
      </c>
      <c r="P39" s="29">
        <v>89</v>
      </c>
      <c r="Q39" s="31">
        <v>0</v>
      </c>
      <c r="R39" s="34">
        <v>0</v>
      </c>
      <c r="S39" s="7"/>
      <c r="T39" s="25"/>
    </row>
    <row r="40" spans="1:20" ht="13.5" customHeight="1">
      <c r="A40" s="82">
        <v>41530</v>
      </c>
      <c r="B40" s="64" t="s">
        <v>29</v>
      </c>
      <c r="C40" s="22">
        <f t="shared" si="2"/>
        <v>212</v>
      </c>
      <c r="D40" s="22">
        <f t="shared" si="1"/>
        <v>0</v>
      </c>
      <c r="E40" s="29">
        <v>0</v>
      </c>
      <c r="F40" s="29">
        <v>0</v>
      </c>
      <c r="G40" s="30">
        <v>0</v>
      </c>
      <c r="H40" s="29">
        <v>0</v>
      </c>
      <c r="I40" s="22">
        <f t="shared" si="3"/>
        <v>142</v>
      </c>
      <c r="J40" s="29">
        <f>46+51</f>
        <v>97</v>
      </c>
      <c r="K40" s="29">
        <f>23+22</f>
        <v>45</v>
      </c>
      <c r="L40" s="29">
        <v>0</v>
      </c>
      <c r="M40" s="29">
        <v>0</v>
      </c>
      <c r="N40" s="22">
        <f t="shared" si="4"/>
        <v>70</v>
      </c>
      <c r="O40" s="29">
        <v>70</v>
      </c>
      <c r="P40" s="29">
        <v>0</v>
      </c>
      <c r="Q40" s="31">
        <v>0</v>
      </c>
      <c r="R40" s="34">
        <v>0</v>
      </c>
      <c r="S40" s="7"/>
      <c r="T40" s="25"/>
    </row>
    <row r="41" spans="1:20" ht="13.5" customHeight="1">
      <c r="A41" s="82">
        <v>41548</v>
      </c>
      <c r="B41" s="64" t="s">
        <v>22</v>
      </c>
      <c r="C41" s="22">
        <f t="shared" si="2"/>
        <v>63</v>
      </c>
      <c r="D41" s="22">
        <f t="shared" si="1"/>
        <v>18</v>
      </c>
      <c r="E41" s="29">
        <v>0</v>
      </c>
      <c r="F41" s="29">
        <v>18</v>
      </c>
      <c r="G41" s="30">
        <v>0</v>
      </c>
      <c r="H41" s="29">
        <v>0</v>
      </c>
      <c r="I41" s="22">
        <f t="shared" si="3"/>
        <v>45</v>
      </c>
      <c r="J41" s="29">
        <v>0</v>
      </c>
      <c r="K41" s="29">
        <v>45</v>
      </c>
      <c r="L41" s="29">
        <v>0</v>
      </c>
      <c r="M41" s="29">
        <v>0</v>
      </c>
      <c r="N41" s="22">
        <f t="shared" si="4"/>
        <v>0</v>
      </c>
      <c r="O41" s="29">
        <v>0</v>
      </c>
      <c r="P41" s="29">
        <v>0</v>
      </c>
      <c r="Q41" s="29">
        <v>0</v>
      </c>
      <c r="R41" s="34">
        <v>0</v>
      </c>
      <c r="S41" s="7"/>
      <c r="T41" s="25"/>
    </row>
    <row r="42" spans="1:20" ht="13.5" customHeight="1">
      <c r="A42" s="82">
        <v>41551</v>
      </c>
      <c r="B42" s="64" t="s">
        <v>30</v>
      </c>
      <c r="C42" s="22">
        <f t="shared" si="2"/>
        <v>2788</v>
      </c>
      <c r="D42" s="22">
        <f t="shared" si="1"/>
        <v>278</v>
      </c>
      <c r="E42" s="37">
        <f>68+108</f>
        <v>176</v>
      </c>
      <c r="F42" s="37">
        <f>24+76</f>
        <v>100</v>
      </c>
      <c r="G42" s="38">
        <v>2</v>
      </c>
      <c r="H42" s="30">
        <v>0</v>
      </c>
      <c r="I42" s="22">
        <f t="shared" si="3"/>
        <v>1442</v>
      </c>
      <c r="J42" s="37">
        <f>226+246</f>
        <v>472</v>
      </c>
      <c r="K42" s="37">
        <f>199+223</f>
        <v>422</v>
      </c>
      <c r="L42" s="38">
        <f>171+377</f>
        <v>548</v>
      </c>
      <c r="M42" s="30">
        <v>0</v>
      </c>
      <c r="N42" s="22">
        <f t="shared" si="4"/>
        <v>1068</v>
      </c>
      <c r="O42" s="37">
        <f>95+178</f>
        <v>273</v>
      </c>
      <c r="P42" s="37">
        <v>141</v>
      </c>
      <c r="Q42" s="38">
        <f>363+291</f>
        <v>654</v>
      </c>
      <c r="R42" s="34">
        <v>0</v>
      </c>
      <c r="S42" s="7"/>
      <c r="T42" s="25"/>
    </row>
    <row r="43" spans="1:20" ht="13.5" customHeight="1">
      <c r="A43" s="82">
        <v>41615</v>
      </c>
      <c r="B43" s="64" t="s">
        <v>10</v>
      </c>
      <c r="C43" s="22">
        <f t="shared" si="2"/>
        <v>402</v>
      </c>
      <c r="D43" s="22">
        <f t="shared" si="1"/>
        <v>163</v>
      </c>
      <c r="E43" s="35">
        <v>0</v>
      </c>
      <c r="F43" s="29">
        <v>163</v>
      </c>
      <c r="G43" s="30">
        <v>0</v>
      </c>
      <c r="H43" s="29">
        <v>0</v>
      </c>
      <c r="I43" s="22">
        <f t="shared" si="3"/>
        <v>123</v>
      </c>
      <c r="J43" s="35">
        <f>8+15</f>
        <v>23</v>
      </c>
      <c r="K43" s="29">
        <f>53+47</f>
        <v>100</v>
      </c>
      <c r="L43" s="29">
        <v>0</v>
      </c>
      <c r="M43" s="29">
        <v>0</v>
      </c>
      <c r="N43" s="22">
        <f t="shared" si="4"/>
        <v>116</v>
      </c>
      <c r="O43" s="35">
        <v>27</v>
      </c>
      <c r="P43" s="29">
        <v>89</v>
      </c>
      <c r="Q43" s="29">
        <v>0</v>
      </c>
      <c r="R43" s="34">
        <v>0</v>
      </c>
      <c r="S43" s="7"/>
      <c r="T43" s="25"/>
    </row>
    <row r="44" spans="1:20" ht="13.5" customHeight="1">
      <c r="A44" s="82">
        <v>41660</v>
      </c>
      <c r="B44" s="64" t="s">
        <v>31</v>
      </c>
      <c r="C44" s="22">
        <f t="shared" si="2"/>
        <v>228</v>
      </c>
      <c r="D44" s="22">
        <f t="shared" si="1"/>
        <v>55</v>
      </c>
      <c r="E44" s="29">
        <f>13+22</f>
        <v>35</v>
      </c>
      <c r="F44" s="29">
        <v>20</v>
      </c>
      <c r="G44" s="30">
        <v>0</v>
      </c>
      <c r="H44" s="29">
        <v>0</v>
      </c>
      <c r="I44" s="22">
        <f t="shared" si="3"/>
        <v>130</v>
      </c>
      <c r="J44" s="29">
        <f>49+47</f>
        <v>96</v>
      </c>
      <c r="K44" s="29">
        <v>34</v>
      </c>
      <c r="L44" s="29">
        <v>0</v>
      </c>
      <c r="M44" s="29">
        <v>0</v>
      </c>
      <c r="N44" s="22">
        <f t="shared" si="4"/>
        <v>43</v>
      </c>
      <c r="O44" s="29">
        <v>43</v>
      </c>
      <c r="P44" s="29">
        <v>0</v>
      </c>
      <c r="Q44" s="29">
        <v>0</v>
      </c>
      <c r="R44" s="34">
        <v>0</v>
      </c>
      <c r="S44" s="7"/>
      <c r="T44" s="25"/>
    </row>
    <row r="45" spans="1:20" ht="13.5" customHeight="1">
      <c r="A45" s="82">
        <v>41668</v>
      </c>
      <c r="B45" s="64" t="s">
        <v>32</v>
      </c>
      <c r="C45" s="22">
        <f t="shared" si="2"/>
        <v>1009</v>
      </c>
      <c r="D45" s="22">
        <f t="shared" si="1"/>
        <v>317</v>
      </c>
      <c r="E45" s="29">
        <f>179+9</f>
        <v>188</v>
      </c>
      <c r="F45" s="29">
        <v>129</v>
      </c>
      <c r="G45" s="30">
        <v>0</v>
      </c>
      <c r="H45" s="29">
        <v>0</v>
      </c>
      <c r="I45" s="22">
        <f t="shared" si="3"/>
        <v>336</v>
      </c>
      <c r="J45" s="29">
        <f>57+78</f>
        <v>135</v>
      </c>
      <c r="K45" s="29">
        <f>56+50</f>
        <v>106</v>
      </c>
      <c r="L45" s="29">
        <v>95</v>
      </c>
      <c r="M45" s="29">
        <v>0</v>
      </c>
      <c r="N45" s="22">
        <f t="shared" si="4"/>
        <v>356</v>
      </c>
      <c r="O45" s="29">
        <f>101+150</f>
        <v>251</v>
      </c>
      <c r="P45" s="29">
        <v>22</v>
      </c>
      <c r="Q45" s="31">
        <f>43+40</f>
        <v>83</v>
      </c>
      <c r="R45" s="34">
        <v>0</v>
      </c>
      <c r="S45" s="7"/>
      <c r="T45" s="25"/>
    </row>
    <row r="46" spans="1:20" ht="13.5" customHeight="1">
      <c r="A46" s="82">
        <v>41676</v>
      </c>
      <c r="B46" s="64" t="s">
        <v>34</v>
      </c>
      <c r="C46" s="22">
        <f t="shared" si="2"/>
        <v>176</v>
      </c>
      <c r="D46" s="22">
        <f t="shared" si="1"/>
        <v>0</v>
      </c>
      <c r="E46" s="29">
        <v>0</v>
      </c>
      <c r="F46" s="29">
        <v>0</v>
      </c>
      <c r="G46" s="30">
        <v>0</v>
      </c>
      <c r="H46" s="29">
        <v>0</v>
      </c>
      <c r="I46" s="22">
        <f t="shared" si="3"/>
        <v>88</v>
      </c>
      <c r="J46" s="29">
        <v>30</v>
      </c>
      <c r="K46" s="29">
        <v>0</v>
      </c>
      <c r="L46" s="29">
        <f>21+37</f>
        <v>58</v>
      </c>
      <c r="M46" s="29">
        <v>0</v>
      </c>
      <c r="N46" s="22">
        <f t="shared" si="4"/>
        <v>88</v>
      </c>
      <c r="O46" s="29">
        <v>34</v>
      </c>
      <c r="P46" s="29">
        <v>0</v>
      </c>
      <c r="Q46" s="29">
        <f>27+27</f>
        <v>54</v>
      </c>
      <c r="R46" s="34">
        <v>0</v>
      </c>
      <c r="S46" s="7"/>
      <c r="T46" s="25"/>
    </row>
    <row r="47" spans="1:20" ht="13.5" customHeight="1">
      <c r="A47" s="82">
        <v>41770</v>
      </c>
      <c r="B47" s="64" t="s">
        <v>23</v>
      </c>
      <c r="C47" s="22">
        <f t="shared" si="2"/>
        <v>562</v>
      </c>
      <c r="D47" s="22">
        <f t="shared" si="1"/>
        <v>142</v>
      </c>
      <c r="E47" s="29">
        <v>0</v>
      </c>
      <c r="F47" s="29">
        <f>75+67</f>
        <v>142</v>
      </c>
      <c r="G47" s="30">
        <v>0</v>
      </c>
      <c r="H47" s="29">
        <v>0</v>
      </c>
      <c r="I47" s="22">
        <f t="shared" si="3"/>
        <v>311</v>
      </c>
      <c r="J47" s="29">
        <f>27+42</f>
        <v>69</v>
      </c>
      <c r="K47" s="29">
        <f>157+71</f>
        <v>228</v>
      </c>
      <c r="L47" s="29">
        <v>14</v>
      </c>
      <c r="M47" s="29">
        <v>0</v>
      </c>
      <c r="N47" s="22">
        <f t="shared" si="4"/>
        <v>109</v>
      </c>
      <c r="O47" s="29">
        <v>83</v>
      </c>
      <c r="P47" s="29">
        <v>24</v>
      </c>
      <c r="Q47" s="29">
        <v>2</v>
      </c>
      <c r="R47" s="34">
        <v>0</v>
      </c>
      <c r="S47" s="7"/>
      <c r="T47" s="25"/>
    </row>
    <row r="48" spans="1:20" ht="13.5" customHeight="1">
      <c r="A48" s="82">
        <v>41791</v>
      </c>
      <c r="B48" s="64" t="s">
        <v>24</v>
      </c>
      <c r="C48" s="22">
        <f t="shared" si="2"/>
        <v>509</v>
      </c>
      <c r="D48" s="22">
        <f t="shared" si="1"/>
        <v>126</v>
      </c>
      <c r="E48" s="29">
        <v>33</v>
      </c>
      <c r="F48" s="29">
        <f>46+47</f>
        <v>93</v>
      </c>
      <c r="G48" s="30">
        <v>0</v>
      </c>
      <c r="H48" s="29">
        <v>0</v>
      </c>
      <c r="I48" s="22">
        <f t="shared" si="3"/>
        <v>312</v>
      </c>
      <c r="J48" s="29">
        <f>25+47</f>
        <v>72</v>
      </c>
      <c r="K48" s="30">
        <f>81+159</f>
        <v>240</v>
      </c>
      <c r="L48" s="29">
        <v>0</v>
      </c>
      <c r="M48" s="29">
        <v>0</v>
      </c>
      <c r="N48" s="22">
        <f t="shared" si="4"/>
        <v>71</v>
      </c>
      <c r="O48" s="29">
        <v>44</v>
      </c>
      <c r="P48" s="29">
        <v>27</v>
      </c>
      <c r="Q48" s="29">
        <v>0</v>
      </c>
      <c r="R48" s="34">
        <v>0</v>
      </c>
      <c r="S48" s="7"/>
      <c r="T48" s="25"/>
    </row>
    <row r="49" spans="1:20" ht="13.5" customHeight="1">
      <c r="A49" s="82">
        <v>41799</v>
      </c>
      <c r="B49" s="64" t="s">
        <v>11</v>
      </c>
      <c r="C49" s="22">
        <f t="shared" si="2"/>
        <v>216</v>
      </c>
      <c r="D49" s="22">
        <f t="shared" si="1"/>
        <v>51</v>
      </c>
      <c r="E49" s="29">
        <v>0</v>
      </c>
      <c r="F49" s="29">
        <v>51</v>
      </c>
      <c r="G49" s="30">
        <v>0</v>
      </c>
      <c r="H49" s="29">
        <v>0</v>
      </c>
      <c r="I49" s="22">
        <f t="shared" si="3"/>
        <v>116</v>
      </c>
      <c r="J49" s="29">
        <f>24+51</f>
        <v>75</v>
      </c>
      <c r="K49" s="29">
        <v>41</v>
      </c>
      <c r="L49" s="29">
        <v>0</v>
      </c>
      <c r="M49" s="29">
        <v>0</v>
      </c>
      <c r="N49" s="22">
        <f t="shared" si="4"/>
        <v>49</v>
      </c>
      <c r="O49" s="29">
        <v>49</v>
      </c>
      <c r="P49" s="29">
        <v>0</v>
      </c>
      <c r="Q49" s="29">
        <v>0</v>
      </c>
      <c r="R49" s="34">
        <v>0</v>
      </c>
      <c r="S49" s="7"/>
      <c r="T49" s="25"/>
    </row>
    <row r="50" spans="1:20" ht="13.5" customHeight="1">
      <c r="A50" s="82">
        <v>41801</v>
      </c>
      <c r="B50" s="64" t="s">
        <v>12</v>
      </c>
      <c r="C50" s="22">
        <f t="shared" si="2"/>
        <v>73</v>
      </c>
      <c r="D50" s="22">
        <f t="shared" si="1"/>
        <v>0</v>
      </c>
      <c r="E50" s="29">
        <v>0</v>
      </c>
      <c r="F50" s="29">
        <v>0</v>
      </c>
      <c r="G50" s="30">
        <v>0</v>
      </c>
      <c r="H50" s="29">
        <v>0</v>
      </c>
      <c r="I50" s="22">
        <f t="shared" si="3"/>
        <v>40</v>
      </c>
      <c r="J50" s="29">
        <v>40</v>
      </c>
      <c r="K50" s="29">
        <v>0</v>
      </c>
      <c r="L50" s="29">
        <v>0</v>
      </c>
      <c r="M50" s="29">
        <v>0</v>
      </c>
      <c r="N50" s="22">
        <f t="shared" si="4"/>
        <v>33</v>
      </c>
      <c r="O50" s="29">
        <v>33</v>
      </c>
      <c r="P50" s="29">
        <v>0</v>
      </c>
      <c r="Q50" s="29">
        <v>0</v>
      </c>
      <c r="R50" s="34">
        <v>0</v>
      </c>
      <c r="S50" s="7"/>
      <c r="T50" s="25"/>
    </row>
    <row r="51" spans="1:20" ht="13.5" customHeight="1">
      <c r="A51" s="82">
        <v>41797</v>
      </c>
      <c r="B51" s="64" t="s">
        <v>17</v>
      </c>
      <c r="C51" s="22">
        <f t="shared" si="2"/>
        <v>57</v>
      </c>
      <c r="D51" s="22">
        <f t="shared" si="1"/>
        <v>0</v>
      </c>
      <c r="E51" s="29">
        <v>0</v>
      </c>
      <c r="F51" s="29">
        <v>0</v>
      </c>
      <c r="G51" s="30">
        <v>0</v>
      </c>
      <c r="H51" s="29">
        <v>0</v>
      </c>
      <c r="I51" s="22">
        <f t="shared" si="3"/>
        <v>31</v>
      </c>
      <c r="J51" s="29">
        <f>12+19</f>
        <v>31</v>
      </c>
      <c r="K51" s="29">
        <v>0</v>
      </c>
      <c r="L51" s="29">
        <v>0</v>
      </c>
      <c r="M51" s="29">
        <v>0</v>
      </c>
      <c r="N51" s="22">
        <f t="shared" si="4"/>
        <v>26</v>
      </c>
      <c r="O51" s="29">
        <v>26</v>
      </c>
      <c r="P51" s="29">
        <v>0</v>
      </c>
      <c r="Q51" s="29">
        <v>0</v>
      </c>
      <c r="R51" s="34">
        <v>0</v>
      </c>
      <c r="S51" s="7"/>
      <c r="T51" s="25"/>
    </row>
    <row r="52" spans="1:20" ht="13.5" customHeight="1">
      <c r="A52" s="82">
        <v>41807</v>
      </c>
      <c r="B52" s="64" t="s">
        <v>33</v>
      </c>
      <c r="C52" s="22">
        <f t="shared" si="2"/>
        <v>303</v>
      </c>
      <c r="D52" s="22">
        <f t="shared" si="1"/>
        <v>20</v>
      </c>
      <c r="E52" s="29">
        <v>0</v>
      </c>
      <c r="F52" s="29">
        <v>20</v>
      </c>
      <c r="G52" s="30">
        <v>0</v>
      </c>
      <c r="H52" s="29">
        <v>0</v>
      </c>
      <c r="I52" s="22">
        <f t="shared" si="3"/>
        <v>165</v>
      </c>
      <c r="J52" s="29">
        <f>41+65</f>
        <v>106</v>
      </c>
      <c r="K52" s="29">
        <v>59</v>
      </c>
      <c r="L52" s="29">
        <v>0</v>
      </c>
      <c r="M52" s="29">
        <v>0</v>
      </c>
      <c r="N52" s="22">
        <f t="shared" si="4"/>
        <v>118</v>
      </c>
      <c r="O52" s="29">
        <v>59</v>
      </c>
      <c r="P52" s="29">
        <v>59</v>
      </c>
      <c r="Q52" s="29">
        <v>0</v>
      </c>
      <c r="R52" s="34">
        <v>0</v>
      </c>
      <c r="S52" s="7"/>
      <c r="T52" s="25"/>
    </row>
    <row r="53" spans="1:20" ht="13.5" customHeight="1">
      <c r="A53" s="82">
        <v>41872</v>
      </c>
      <c r="B53" s="64" t="s">
        <v>13</v>
      </c>
      <c r="C53" s="22">
        <f t="shared" si="2"/>
        <v>76</v>
      </c>
      <c r="D53" s="22">
        <f t="shared" si="1"/>
        <v>0</v>
      </c>
      <c r="E53" s="29">
        <v>0</v>
      </c>
      <c r="F53" s="29">
        <v>0</v>
      </c>
      <c r="G53" s="30">
        <v>0</v>
      </c>
      <c r="H53" s="29">
        <v>0</v>
      </c>
      <c r="I53" s="22">
        <f t="shared" si="3"/>
        <v>48</v>
      </c>
      <c r="J53" s="29">
        <v>0</v>
      </c>
      <c r="K53" s="29">
        <f>23+25</f>
        <v>48</v>
      </c>
      <c r="L53" s="29">
        <v>0</v>
      </c>
      <c r="M53" s="29">
        <v>0</v>
      </c>
      <c r="N53" s="22">
        <f t="shared" si="4"/>
        <v>28</v>
      </c>
      <c r="O53" s="29">
        <v>0</v>
      </c>
      <c r="P53" s="29">
        <v>28</v>
      </c>
      <c r="Q53" s="29">
        <v>0</v>
      </c>
      <c r="R53" s="34">
        <v>0</v>
      </c>
      <c r="S53" s="7"/>
      <c r="T53" s="25"/>
    </row>
    <row r="54" spans="1:20" ht="13.5" customHeight="1">
      <c r="A54" s="82">
        <v>41885</v>
      </c>
      <c r="B54" s="64" t="s">
        <v>14</v>
      </c>
      <c r="C54" s="22">
        <f t="shared" si="2"/>
        <v>45</v>
      </c>
      <c r="D54" s="22">
        <f t="shared" si="1"/>
        <v>0</v>
      </c>
      <c r="E54" s="29">
        <v>0</v>
      </c>
      <c r="F54" s="29">
        <v>0</v>
      </c>
      <c r="G54" s="30">
        <v>0</v>
      </c>
      <c r="H54" s="29">
        <v>0</v>
      </c>
      <c r="I54" s="22">
        <f t="shared" si="3"/>
        <v>19</v>
      </c>
      <c r="J54" s="29">
        <v>19</v>
      </c>
      <c r="K54" s="29">
        <v>0</v>
      </c>
      <c r="L54" s="29">
        <v>0</v>
      </c>
      <c r="M54" s="29">
        <v>0</v>
      </c>
      <c r="N54" s="22">
        <f t="shared" si="4"/>
        <v>26</v>
      </c>
      <c r="O54" s="29">
        <v>26</v>
      </c>
      <c r="P54" s="29">
        <v>0</v>
      </c>
      <c r="Q54" s="29">
        <v>0</v>
      </c>
      <c r="R54" s="34">
        <v>0</v>
      </c>
      <c r="S54" s="7"/>
      <c r="T54" s="25"/>
    </row>
    <row r="55" spans="1:19" ht="3.75" customHeight="1" thickBot="1">
      <c r="A55" s="80"/>
      <c r="B55" s="11"/>
      <c r="C55" s="11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12"/>
      <c r="S55" s="7"/>
    </row>
    <row r="56" spans="2:19" ht="11.25" customHeight="1" thickBo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3"/>
    </row>
    <row r="57" spans="1:19" ht="21.75" customHeight="1" thickBot="1">
      <c r="A57" s="74" t="s">
        <v>46</v>
      </c>
      <c r="B57" s="75"/>
      <c r="C57" s="76"/>
      <c r="D57" s="76"/>
      <c r="E57" s="76"/>
      <c r="F57" s="77"/>
      <c r="G57" s="77"/>
      <c r="H57" s="77"/>
      <c r="I57" s="77"/>
      <c r="J57" s="77"/>
      <c r="K57" s="77"/>
      <c r="L57" s="78"/>
      <c r="M57" s="3"/>
      <c r="N57" s="3"/>
      <c r="O57" s="3"/>
      <c r="P57" s="3"/>
      <c r="Q57" s="3"/>
      <c r="R57" s="3"/>
      <c r="S57" s="3"/>
    </row>
    <row r="58" spans="2:19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2:19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2:19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2:19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2:19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2:19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2:19" ht="13.5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2:19" ht="13.5" customHeight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2:19" ht="13.5" customHeight="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2:19" ht="13.5" customHeight="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2:19" ht="13.5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2:19" ht="13.5" customHeigh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2:19" ht="13.5" customHeight="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2:19" ht="13.5" customHeight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2:19" ht="13.5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2:19" ht="13.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2:19" ht="13.5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2:19" ht="13.5" customHeigh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2:19" ht="13.5" customHeight="1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2:19" ht="13.5" customHeigh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2:19" ht="13.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2:19" ht="13.5" customHeight="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2:19" ht="13.5" customHeight="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2:19" ht="13.5" customHeight="1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2:19" ht="13.5" customHeight="1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2:19" ht="13.5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2:19" ht="13.5" customHeight="1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2:19" ht="13.5" customHeight="1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2:19" ht="13.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2:19" ht="13.5" customHeight="1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2:19" ht="13.5" customHeight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2:19" ht="13.5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2:19" ht="13.5" customHeigh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2:19" ht="18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2:19" ht="18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2:19" ht="18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2:19" ht="18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2:19" ht="18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</sheetData>
  <sheetProtection/>
  <mergeCells count="19">
    <mergeCell ref="C12:C14"/>
    <mergeCell ref="B12:B14"/>
    <mergeCell ref="E13:F13"/>
    <mergeCell ref="Q13:R13"/>
    <mergeCell ref="A12:A14"/>
    <mergeCell ref="A6:R6"/>
    <mergeCell ref="A7:R7"/>
    <mergeCell ref="A8:R8"/>
    <mergeCell ref="A10:R10"/>
    <mergeCell ref="N13:N14"/>
    <mergeCell ref="N12:R12"/>
    <mergeCell ref="G13:H13"/>
    <mergeCell ref="J13:K13"/>
    <mergeCell ref="I12:M12"/>
    <mergeCell ref="D12:H12"/>
    <mergeCell ref="D13:D14"/>
    <mergeCell ref="I13:I14"/>
    <mergeCell ref="L13:M13"/>
    <mergeCell ref="O13:P13"/>
  </mergeCells>
  <printOptions horizontalCentered="1"/>
  <pageMargins left="0.11811023622047245" right="0.1968503937007874" top="0.1968503937007874" bottom="0.11811023622047245" header="0.5905511811023623" footer="0.4330708661417323"/>
  <pageSetup horizontalDpi="180" verticalDpi="18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sir</cp:lastModifiedBy>
  <cp:lastPrinted>2022-02-07T15:55:43Z</cp:lastPrinted>
  <dcterms:created xsi:type="dcterms:W3CDTF">2004-06-07T20:22:39Z</dcterms:created>
  <dcterms:modified xsi:type="dcterms:W3CDTF">2022-02-07T15:56:07Z</dcterms:modified>
  <cp:category/>
  <cp:version/>
  <cp:contentType/>
  <cp:contentStatus/>
</cp:coreProperties>
</file>